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ruppohera-my.sharepoint.com/personal/claudia_povolo_gruppohera_it/Documents/Desktop/Tariffe gas/202603_LUG_SET 2026/File Pubblicazione Sito/8.2026/"/>
    </mc:Choice>
  </mc:AlternateContent>
  <xr:revisionPtr revIDLastSave="0" documentId="8_{04655A4E-56D6-4B8B-950C-D8182562F537}" xr6:coauthVersionLast="47" xr6:coauthVersionMax="47" xr10:uidLastSave="{00000000-0000-0000-0000-000000000000}"/>
  <workbookProtection workbookAlgorithmName="SHA-512" workbookHashValue="LMC3+3yFkUur2RC2rrU2NAwDBzaNja2yGzWqUyqneuoQeFRoeU/UZYj/WVKcUAgFvXuKPlVeeDkh+viJI5aHuA==" workbookSaltValue="o6Mo91evBN3XZITBd+7AyQ==" workbookSpinCount="100000" lockStructure="1"/>
  <bookViews>
    <workbookView xWindow="-28920" yWindow="-120" windowWidth="29040" windowHeight="15720" tabRatio="764" firstSheet="5" activeTab="5" xr2:uid="{00000000-000D-0000-FFFF-FFFF00000000}"/>
  </bookViews>
  <sheets>
    <sheet name="Max CCI" sheetId="5" state="hidden" r:id="rId1"/>
    <sheet name="Parametri" sheetId="1" state="hidden" r:id="rId2"/>
    <sheet name="Calcolo distribuzione" sheetId="53" state="hidden" r:id="rId3"/>
    <sheet name="COMUNI" sheetId="49" state="hidden" r:id="rId4"/>
    <sheet name="TARIFFE_SOCIETà" sheetId="21" state="hidden" r:id="rId5"/>
    <sheet name="STV_Servizio tutela vulnerabili" sheetId="3" r:id="rId6"/>
  </sheets>
  <externalReferences>
    <externalReference r:id="rId7"/>
    <externalReference r:id="rId8"/>
    <externalReference r:id="rId9"/>
    <externalReference r:id="rId10"/>
  </externalReferences>
  <definedNames>
    <definedName name="_64_09">TARIFFE_SOCIETà!#REF!</definedName>
    <definedName name="_6409">TARIFFE_SOCIETà!#REF!</definedName>
    <definedName name="_ASMSET">TARIFFE_SOCIETà!#REF!</definedName>
    <definedName name="_CCG">TARIFFE_SOCIETà!#REF!</definedName>
    <definedName name="_CCG3">TARIFFE_SOCIETà!#REF!</definedName>
    <definedName name="_CONSIP">TARIFFE_SOCIETà!#REF!</definedName>
    <definedName name="_xlnm._FilterDatabase" localSheetId="3" hidden="1">COMUNI!$A$1:$I$173</definedName>
    <definedName name="_xlnm._FilterDatabase" localSheetId="4" hidden="1">TARIFFE_SOCIETà!#REF!</definedName>
    <definedName name="_FISM">TARIFFE_SOCIETà!#REF!</definedName>
    <definedName name="_T01">TARIFFE_SOCIETà!$A$2:$A$4</definedName>
    <definedName name="_T02">TARIFFE_SOCIETà!#REF!</definedName>
    <definedName name="_T02ASMSET">TARIFFE_SOCIETà!#REF!</definedName>
    <definedName name="_T05">TARIFFE_SOCIETà!#REF!</definedName>
    <definedName name="_T06">TARIFFE_SOCIETà!#REF!</definedName>
    <definedName name="_T08">TARIFFE_SOCIETà!#REF!</definedName>
    <definedName name="_T09">TARIFFE_SOCIETà!#REF!</definedName>
    <definedName name="_VERITAS">TARIFFE_SOCIETà!#REF!</definedName>
    <definedName name="AMBITI" localSheetId="2">#REF!</definedName>
    <definedName name="AMBITI">'[1]Tabelle STANDARD DOM'!$B$4:$B$9</definedName>
    <definedName name="AMGAS_BLU">COMUNI!#REF!</definedName>
    <definedName name="_xlnm.Print_Area" localSheetId="5">'STV_Servizio tutela vulnerabili'!$A$1:$J$43</definedName>
    <definedName name="ASCOPIAVE_ENERGIE">COMUNI!#REF!</definedName>
    <definedName name="ASCOTRADE">COMUNI!#REF!</definedName>
    <definedName name="ASM_SET">COMUNI!$A$8:$A$84</definedName>
    <definedName name="BLUEMETA">COMUNI!#REF!</definedName>
    <definedName name="C_" localSheetId="2">#REF!</definedName>
    <definedName name="C_">#REF!</definedName>
    <definedName name="CI" localSheetId="2">#REF!</definedName>
    <definedName name="CI">#REF!</definedName>
    <definedName name="Classe">[2]Parametri!$I$16:$I$18</definedName>
    <definedName name="Com" localSheetId="2">#REF!</definedName>
    <definedName name="Com" localSheetId="0">#REF!</definedName>
    <definedName name="Com">#REF!</definedName>
    <definedName name="COMUNI" localSheetId="2">#REF!</definedName>
    <definedName name="Comuni" localSheetId="0">#REF!</definedName>
    <definedName name="COMUNI">#REF!</definedName>
    <definedName name="COMUNI_AMGAS">#REF!</definedName>
    <definedName name="COMUNI_ASCO" localSheetId="2">#REF!</definedName>
    <definedName name="COMUNI_ASCO">#REF!</definedName>
    <definedName name="COMUNI_ASCOTRADE">#REF!</definedName>
    <definedName name="COMUNI_ASMSET">#REF!</definedName>
    <definedName name="COMUNI_BLUEMETA">#REF!</definedName>
    <definedName name="COMUNI_EDIGAS">#REF!</definedName>
    <definedName name="COMUNI_ETRA">#REF!</definedName>
    <definedName name="COMUNI_NEW">#REF!</definedName>
    <definedName name="COMUNI_PASUBIO">#REF!</definedName>
    <definedName name="COMUNI_STD" localSheetId="2">#REF!</definedName>
    <definedName name="COMUNI_STD">#REF!</definedName>
    <definedName name="CONSUMO" localSheetId="2">#REF!</definedName>
    <definedName name="CONSUMO">#REF!</definedName>
    <definedName name="CU" localSheetId="2">#REF!</definedName>
    <definedName name="CU">#REF!</definedName>
    <definedName name="DES_LOCALITA">[3]Località!$B$4:$B$278</definedName>
    <definedName name="EDIGAS_DUE">#REF!</definedName>
    <definedName name="ETRA_ENERGIA">COMUNI!$A$85:$A$173</definedName>
    <definedName name="GJ_cliente" localSheetId="2">#REF!</definedName>
    <definedName name="GJ_cliente">#REF!</definedName>
    <definedName name="I" localSheetId="2">#REF!</definedName>
    <definedName name="I">#REF!</definedName>
    <definedName name="IMPIANTI" localSheetId="2">'[4]Tabelle Varie '!#REF!</definedName>
    <definedName name="IMPIANTI">'[4]Tabelle Varie '!#REF!</definedName>
    <definedName name="impianto_cliente" localSheetId="2">#REF!</definedName>
    <definedName name="impianto_cliente">#REF!</definedName>
    <definedName name="ivap" localSheetId="2">#REF!</definedName>
    <definedName name="ivap">#REF!</definedName>
    <definedName name="m_cliente" localSheetId="2">#REF!</definedName>
    <definedName name="m_cliente">#REF!</definedName>
    <definedName name="NEW">#REF!</definedName>
    <definedName name="OFFERTE">'[2]Riepilogo per controllo'!$A$33:$A$55</definedName>
    <definedName name="PASUBIO_SERVIZI">COMUNI!$A$32:$A$73</definedName>
    <definedName name="PAWS_Basis">1</definedName>
    <definedName name="PAWS_EndDate">37257</definedName>
    <definedName name="PAWS_GraphMode">TRUE</definedName>
    <definedName name="PAWS_LastDate" localSheetId="2">#REF!</definedName>
    <definedName name="PAWS_LastDate">#REF!</definedName>
    <definedName name="PAWS_LastNDays">10</definedName>
    <definedName name="PAWS_PasteRows">FALSE</definedName>
    <definedName name="PAWS_Periodicity">3</definedName>
    <definedName name="PAWS_PeriodSpec">1</definedName>
    <definedName name="PAWS_StartDate">32509</definedName>
    <definedName name="PAWS_UseDates">TRUE</definedName>
    <definedName name="PAWS_UseLastSelection">FALSE</definedName>
    <definedName name="PAWS_UseUnits">TRUE</definedName>
    <definedName name="PAWS_ZeroMode">TRUE</definedName>
    <definedName name="PENALI" localSheetId="2">#REF!</definedName>
    <definedName name="PENALI">#REF!</definedName>
    <definedName name="PG_BIBB" localSheetId="2">#REF!</definedName>
    <definedName name="PG_BIBB">#REF!</definedName>
    <definedName name="Regione" localSheetId="2">#REF!</definedName>
    <definedName name="Regione">#REF!</definedName>
    <definedName name="Sett_02_DA_Pubblicare_INTERNET" localSheetId="2">#REF!</definedName>
    <definedName name="Sett_02_DA_Pubblicare_INTERNET">#REF!</definedName>
    <definedName name="socdistr" localSheetId="2">#REF!</definedName>
    <definedName name="socdistr">#REF!</definedName>
    <definedName name="SOCIETA">TARIFFE_SOCIETà!$A$2:$A$4</definedName>
    <definedName name="SOCIETA_BLUEMETA">TARIFFE_SOCIETà!#REF!</definedName>
    <definedName name="SOCIETA_T01">TARIFFE_SOCIETà!$A$2:$A$4</definedName>
    <definedName name="STANDARD">COMUNI!$A$2:$A$7</definedName>
    <definedName name="TAB_AMBITI">[2]Parametri!$B$7:$B$12</definedName>
    <definedName name="valore_pcs" localSheetId="2">#REF!</definedName>
    <definedName name="valore_pcs">#REF!</definedName>
    <definedName name="varia" localSheetId="2">#REF!</definedName>
    <definedName name="varia">#REF!</definedName>
    <definedName name="VERITAS">TARIFFE_SOCIETà!#REF!</definedName>
    <definedName name="VERITAS_ENERGIA">COMUNI!$A$74:$A$123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5" l="1"/>
  <c r="C39" i="5"/>
  <c r="C34" i="5"/>
  <c r="C33" i="5"/>
  <c r="D15" i="1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7" i="5"/>
  <c r="C14" i="5" l="1"/>
  <c r="C13" i="5"/>
  <c r="C12" i="5"/>
  <c r="C11" i="5"/>
  <c r="C10" i="5" l="1"/>
  <c r="C9" i="5"/>
  <c r="C8" i="5"/>
  <c r="C6" i="5"/>
  <c r="N32" i="1"/>
  <c r="C5" i="5"/>
  <c r="C4" i="5"/>
  <c r="C3" i="5"/>
  <c r="E9" i="3"/>
  <c r="G33" i="3" l="1"/>
  <c r="I33" i="3"/>
  <c r="E10" i="3"/>
  <c r="E12" i="3" s="1"/>
  <c r="C1" i="1" l="1"/>
  <c r="C2" i="1" s="1"/>
  <c r="D20" i="3" l="1"/>
  <c r="D21" i="1"/>
  <c r="D20" i="1"/>
  <c r="D19" i="1"/>
  <c r="D18" i="1"/>
  <c r="D17" i="1"/>
  <c r="D16" i="1"/>
  <c r="E27" i="3"/>
  <c r="Y39" i="53"/>
  <c r="W33" i="53"/>
  <c r="X38" i="53"/>
  <c r="T38" i="53"/>
  <c r="U38" i="53"/>
  <c r="V38" i="53"/>
  <c r="Z38" i="53"/>
  <c r="AA38" i="53"/>
  <c r="U39" i="53"/>
  <c r="V39" i="53"/>
  <c r="X39" i="53"/>
  <c r="Z39" i="53"/>
  <c r="AA39" i="53"/>
  <c r="T39" i="53"/>
  <c r="U25" i="53"/>
  <c r="V25" i="53"/>
  <c r="W25" i="53"/>
  <c r="Z25" i="53"/>
  <c r="AA25" i="53"/>
  <c r="U26" i="53"/>
  <c r="V26" i="53"/>
  <c r="X26" i="53"/>
  <c r="Y26" i="53"/>
  <c r="Z26" i="53"/>
  <c r="AA26" i="53"/>
  <c r="T26" i="53"/>
  <c r="U11" i="53"/>
  <c r="V11" i="53"/>
  <c r="W11" i="53"/>
  <c r="Z11" i="53"/>
  <c r="AA11" i="53"/>
  <c r="U12" i="53"/>
  <c r="V12" i="53"/>
  <c r="X12" i="53"/>
  <c r="Z12" i="53"/>
  <c r="AA12" i="53"/>
  <c r="T12" i="53"/>
  <c r="B37" i="53"/>
  <c r="B38" i="53"/>
  <c r="G38" i="53"/>
  <c r="B39" i="53"/>
  <c r="J39" i="53"/>
  <c r="F39" i="53"/>
  <c r="D39" i="53"/>
  <c r="C39" i="53"/>
  <c r="J38" i="53"/>
  <c r="H38" i="53"/>
  <c r="C38" i="53"/>
  <c r="D37" i="53"/>
  <c r="C37" i="53"/>
  <c r="C26" i="53"/>
  <c r="I26" i="53"/>
  <c r="E26" i="53"/>
  <c r="B26" i="53"/>
  <c r="H26" i="53"/>
  <c r="I25" i="53"/>
  <c r="H25" i="53"/>
  <c r="E25" i="53"/>
  <c r="B25" i="53"/>
  <c r="G25" i="53"/>
  <c r="I12" i="53"/>
  <c r="H12" i="53"/>
  <c r="E12" i="53"/>
  <c r="B12" i="53"/>
  <c r="G12" i="53"/>
  <c r="B11" i="53"/>
  <c r="G21" i="3"/>
  <c r="G22" i="3"/>
  <c r="G23" i="3"/>
  <c r="G24" i="3"/>
  <c r="G25" i="3"/>
  <c r="G26" i="3"/>
  <c r="G27" i="3"/>
  <c r="G20" i="3"/>
  <c r="C21" i="3"/>
  <c r="C22" i="3"/>
  <c r="C23" i="3"/>
  <c r="C24" i="3"/>
  <c r="C25" i="3"/>
  <c r="C26" i="3"/>
  <c r="C27" i="3"/>
  <c r="C20" i="3"/>
  <c r="L37" i="53"/>
  <c r="M37" i="53"/>
  <c r="N37" i="53"/>
  <c r="O37" i="53"/>
  <c r="P37" i="53"/>
  <c r="Q37" i="53"/>
  <c r="R37" i="53"/>
  <c r="K37" i="53"/>
  <c r="L24" i="53"/>
  <c r="M24" i="53"/>
  <c r="N24" i="53"/>
  <c r="O24" i="53"/>
  <c r="P24" i="53"/>
  <c r="Q24" i="53"/>
  <c r="R24" i="53"/>
  <c r="K24" i="53"/>
  <c r="U32" i="53"/>
  <c r="V32" i="53"/>
  <c r="Z32" i="53"/>
  <c r="AA32" i="53"/>
  <c r="U33" i="53"/>
  <c r="V33" i="53"/>
  <c r="Z33" i="53"/>
  <c r="AA33" i="53"/>
  <c r="U34" i="53"/>
  <c r="V34" i="53"/>
  <c r="W34" i="53"/>
  <c r="Y34" i="53"/>
  <c r="Z34" i="53"/>
  <c r="AA34" i="53"/>
  <c r="U35" i="53"/>
  <c r="V35" i="53"/>
  <c r="X35" i="53"/>
  <c r="Y35" i="53"/>
  <c r="Z35" i="53"/>
  <c r="AA35" i="53"/>
  <c r="U36" i="53"/>
  <c r="V36" i="53"/>
  <c r="Z36" i="53"/>
  <c r="AA36" i="53"/>
  <c r="U37" i="53"/>
  <c r="V37" i="53"/>
  <c r="Y37" i="53"/>
  <c r="Z37" i="53"/>
  <c r="AA37" i="53"/>
  <c r="T35" i="53"/>
  <c r="U18" i="53"/>
  <c r="V18" i="53"/>
  <c r="Y18" i="53"/>
  <c r="Z18" i="53"/>
  <c r="AA18" i="53"/>
  <c r="U19" i="53"/>
  <c r="V19" i="53"/>
  <c r="Y19" i="53"/>
  <c r="Z19" i="53"/>
  <c r="AA19" i="53"/>
  <c r="U20" i="53"/>
  <c r="V20" i="53"/>
  <c r="W20" i="53"/>
  <c r="Y20" i="53"/>
  <c r="Z20" i="53"/>
  <c r="AA20" i="53"/>
  <c r="U21" i="53"/>
  <c r="V21" i="53"/>
  <c r="X21" i="53"/>
  <c r="Z21" i="53"/>
  <c r="AA21" i="53"/>
  <c r="U22" i="53"/>
  <c r="V22" i="53"/>
  <c r="Z22" i="53"/>
  <c r="AA22" i="53"/>
  <c r="U23" i="53"/>
  <c r="V23" i="53"/>
  <c r="Y23" i="53"/>
  <c r="Z23" i="53"/>
  <c r="AA23" i="53"/>
  <c r="U24" i="53"/>
  <c r="V24" i="53"/>
  <c r="W24" i="53"/>
  <c r="Z24" i="53"/>
  <c r="AA24" i="53"/>
  <c r="T21" i="53"/>
  <c r="U4" i="53"/>
  <c r="V4" i="53"/>
  <c r="Z4" i="53"/>
  <c r="AA4" i="53"/>
  <c r="U5" i="53"/>
  <c r="V5" i="53"/>
  <c r="Z5" i="53"/>
  <c r="AA5" i="53"/>
  <c r="U6" i="53"/>
  <c r="V6" i="53"/>
  <c r="W6" i="53"/>
  <c r="Y6" i="53"/>
  <c r="Z6" i="53"/>
  <c r="AA6" i="53"/>
  <c r="U7" i="53"/>
  <c r="V7" i="53"/>
  <c r="X7" i="53"/>
  <c r="Y7" i="53"/>
  <c r="Z7" i="53"/>
  <c r="AA7" i="53"/>
  <c r="U8" i="53"/>
  <c r="V8" i="53"/>
  <c r="Y8" i="53"/>
  <c r="Z8" i="53"/>
  <c r="AA8" i="53"/>
  <c r="U9" i="53"/>
  <c r="V9" i="53"/>
  <c r="Y9" i="53"/>
  <c r="Z9" i="53"/>
  <c r="AA9" i="53"/>
  <c r="U10" i="53"/>
  <c r="V10" i="53"/>
  <c r="W10" i="53"/>
  <c r="Y10" i="53"/>
  <c r="Z10" i="53"/>
  <c r="AA10" i="53"/>
  <c r="T7" i="53"/>
  <c r="L10" i="53"/>
  <c r="M10" i="53"/>
  <c r="N10" i="53"/>
  <c r="O10" i="53"/>
  <c r="P10" i="53"/>
  <c r="Q10" i="53"/>
  <c r="R10" i="53"/>
  <c r="K10" i="53"/>
  <c r="H37" i="53"/>
  <c r="G37" i="53"/>
  <c r="J37" i="53"/>
  <c r="B36" i="53"/>
  <c r="E36" i="53"/>
  <c r="B35" i="53"/>
  <c r="H35" i="53"/>
  <c r="B34" i="53"/>
  <c r="B33" i="53"/>
  <c r="B32" i="53"/>
  <c r="G32" i="53"/>
  <c r="B24" i="53"/>
  <c r="E24" i="53"/>
  <c r="B23" i="53"/>
  <c r="I23" i="53"/>
  <c r="B22" i="53"/>
  <c r="D22" i="53"/>
  <c r="B21" i="53"/>
  <c r="G21" i="53"/>
  <c r="B20" i="53"/>
  <c r="E20" i="53"/>
  <c r="I19" i="53"/>
  <c r="B19" i="53"/>
  <c r="H19" i="53"/>
  <c r="B18" i="53"/>
  <c r="F18" i="53"/>
  <c r="I10" i="53"/>
  <c r="B10" i="53"/>
  <c r="B9" i="53"/>
  <c r="I8" i="53"/>
  <c r="B8" i="53"/>
  <c r="E8" i="53"/>
  <c r="I7" i="53"/>
  <c r="E7" i="53"/>
  <c r="B7" i="53"/>
  <c r="D7" i="53"/>
  <c r="G7" i="53"/>
  <c r="B6" i="53"/>
  <c r="G6" i="53"/>
  <c r="J6" i="53"/>
  <c r="B5" i="53"/>
  <c r="B4" i="53"/>
  <c r="D4" i="53"/>
  <c r="I29" i="3"/>
  <c r="E3" i="3"/>
  <c r="H3" i="3"/>
  <c r="F29" i="3"/>
  <c r="L12" i="53"/>
  <c r="M5" i="53"/>
  <c r="M21" i="53"/>
  <c r="R36" i="53"/>
  <c r="E37" i="53"/>
  <c r="I37" i="53"/>
  <c r="H5" i="53"/>
  <c r="F7" i="53"/>
  <c r="J7" i="53"/>
  <c r="G8" i="53"/>
  <c r="D9" i="53"/>
  <c r="C19" i="53"/>
  <c r="G19" i="53"/>
  <c r="G23" i="53"/>
  <c r="C34" i="53"/>
  <c r="F37" i="53"/>
  <c r="C5" i="53"/>
  <c r="F8" i="53"/>
  <c r="J8" i="53"/>
  <c r="C9" i="53"/>
  <c r="F19" i="53"/>
  <c r="I5" i="53"/>
  <c r="C7" i="53"/>
  <c r="E9" i="53"/>
  <c r="D19" i="53"/>
  <c r="F5" i="53"/>
  <c r="F24" i="53"/>
  <c r="O9" i="53"/>
  <c r="F25" i="53"/>
  <c r="G26" i="53"/>
  <c r="F26" i="53"/>
  <c r="J26" i="53"/>
  <c r="D26" i="53"/>
  <c r="E11" i="53"/>
  <c r="F12" i="53"/>
  <c r="J11" i="53"/>
  <c r="R33" i="53"/>
  <c r="M18" i="53"/>
  <c r="K9" i="53"/>
  <c r="K25" i="53"/>
  <c r="Q8" i="53"/>
  <c r="M9" i="53"/>
  <c r="R9" i="53"/>
  <c r="Q22" i="53"/>
  <c r="Q18" i="53"/>
  <c r="Q12" i="53"/>
  <c r="Q5" i="53"/>
  <c r="N8" i="53"/>
  <c r="P12" i="53"/>
  <c r="O4" i="53"/>
  <c r="R5" i="53"/>
  <c r="K5" i="53"/>
  <c r="P9" i="53"/>
  <c r="K36" i="53"/>
  <c r="Q6" i="53"/>
  <c r="O6" i="53"/>
  <c r="L9" i="53"/>
  <c r="O5" i="53"/>
  <c r="P7" i="53"/>
  <c r="P33" i="53"/>
  <c r="Q4" i="53"/>
  <c r="Q7" i="53"/>
  <c r="R8" i="53"/>
  <c r="P11" i="53"/>
  <c r="O7" i="53"/>
  <c r="N6" i="53"/>
  <c r="M11" i="53"/>
  <c r="M6" i="53"/>
  <c r="R7" i="53"/>
  <c r="K33" i="53"/>
  <c r="N11" i="53"/>
  <c r="N7" i="53"/>
  <c r="R11" i="53"/>
  <c r="M7" i="53"/>
  <c r="K34" i="53"/>
  <c r="L38" i="53"/>
  <c r="M39" i="53"/>
  <c r="M25" i="53"/>
  <c r="K38" i="53"/>
  <c r="L33" i="53"/>
  <c r="O39" i="53"/>
  <c r="P35" i="53"/>
  <c r="R35" i="53"/>
  <c r="L34" i="53"/>
  <c r="M35" i="53"/>
  <c r="R34" i="53"/>
  <c r="M34" i="53"/>
  <c r="Q38" i="53"/>
  <c r="N34" i="53"/>
  <c r="N22" i="53"/>
  <c r="P22" i="53"/>
  <c r="O21" i="53"/>
  <c r="R22" i="53"/>
  <c r="L39" i="53"/>
  <c r="Q39" i="53"/>
  <c r="R39" i="53"/>
  <c r="N35" i="53"/>
  <c r="L36" i="53"/>
  <c r="O32" i="53"/>
  <c r="Q36" i="53"/>
  <c r="M33" i="53"/>
  <c r="M38" i="53"/>
  <c r="O26" i="53"/>
  <c r="P34" i="53"/>
  <c r="Q35" i="53"/>
  <c r="O34" i="53"/>
  <c r="K39" i="53"/>
  <c r="R38" i="53"/>
  <c r="P32" i="53"/>
  <c r="O38" i="53"/>
  <c r="P39" i="53"/>
  <c r="P38" i="53"/>
  <c r="N33" i="53"/>
  <c r="Q32" i="53"/>
  <c r="N38" i="53"/>
  <c r="P21" i="53"/>
  <c r="N36" i="53"/>
  <c r="R19" i="53"/>
  <c r="L25" i="53"/>
  <c r="M26" i="53"/>
  <c r="L26" i="53"/>
  <c r="Q20" i="53"/>
  <c r="K19" i="53"/>
  <c r="R20" i="53"/>
  <c r="P18" i="53"/>
  <c r="N23" i="53"/>
  <c r="N18" i="53"/>
  <c r="O23" i="53"/>
  <c r="K21" i="53"/>
  <c r="M20" i="53"/>
  <c r="R21" i="53"/>
  <c r="K23" i="53"/>
  <c r="N20" i="53"/>
  <c r="R18" i="53"/>
  <c r="P26" i="53"/>
  <c r="Q23" i="53"/>
  <c r="P25" i="53"/>
  <c r="M22" i="53"/>
  <c r="L18" i="53"/>
  <c r="M19" i="53"/>
  <c r="L22" i="53"/>
  <c r="O25" i="53"/>
  <c r="K22" i="53"/>
  <c r="K20" i="53"/>
  <c r="L19" i="53"/>
  <c r="Q21" i="53"/>
  <c r="O22" i="53"/>
  <c r="K18" i="53"/>
  <c r="Q25" i="53"/>
  <c r="L32" i="53"/>
  <c r="O36" i="53"/>
  <c r="N39" i="53"/>
  <c r="L35" i="53"/>
  <c r="M32" i="53"/>
  <c r="Q34" i="53"/>
  <c r="O33" i="53"/>
  <c r="P36" i="53"/>
  <c r="K32" i="53"/>
  <c r="N32" i="53"/>
  <c r="O35" i="53"/>
  <c r="M36" i="53"/>
  <c r="L21" i="53"/>
  <c r="N25" i="53"/>
  <c r="R23" i="53"/>
  <c r="P19" i="53"/>
  <c r="R32" i="53"/>
  <c r="L20" i="53"/>
  <c r="N21" i="53"/>
  <c r="L23" i="53"/>
  <c r="N26" i="53"/>
  <c r="K35" i="53"/>
  <c r="M23" i="53"/>
  <c r="R25" i="53"/>
  <c r="P23" i="53"/>
  <c r="R26" i="53"/>
  <c r="O19" i="53"/>
  <c r="N19" i="53"/>
  <c r="Q19" i="53"/>
  <c r="Q26" i="53"/>
  <c r="O20" i="53"/>
  <c r="P20" i="53"/>
  <c r="O18" i="53"/>
  <c r="K26" i="53"/>
  <c r="R6" i="53"/>
  <c r="O11" i="53"/>
  <c r="L8" i="53"/>
  <c r="N9" i="53"/>
  <c r="L5" i="53"/>
  <c r="K12" i="53"/>
  <c r="K4" i="53"/>
  <c r="L11" i="53"/>
  <c r="P4" i="53"/>
  <c r="K7" i="53"/>
  <c r="Q11" i="53"/>
  <c r="L4" i="53"/>
  <c r="N12" i="53"/>
  <c r="L6" i="53"/>
  <c r="R4" i="53"/>
  <c r="O12" i="53"/>
  <c r="K8" i="53"/>
  <c r="L7" i="53"/>
  <c r="Q9" i="53"/>
  <c r="P6" i="53"/>
  <c r="M8" i="53"/>
  <c r="K11" i="53"/>
  <c r="M12" i="53"/>
  <c r="R12" i="53"/>
  <c r="P5" i="53"/>
  <c r="M4" i="53"/>
  <c r="O8" i="53"/>
  <c r="N4" i="53"/>
  <c r="K6" i="53"/>
  <c r="N5" i="53"/>
  <c r="P8" i="53"/>
  <c r="Q33" i="53"/>
  <c r="T8" i="53"/>
  <c r="X8" i="53"/>
  <c r="W7" i="53"/>
  <c r="X4" i="53"/>
  <c r="T18" i="53"/>
  <c r="T22" i="53"/>
  <c r="X22" i="53"/>
  <c r="W21" i="53"/>
  <c r="X18" i="53"/>
  <c r="T32" i="53"/>
  <c r="T36" i="53"/>
  <c r="X36" i="53"/>
  <c r="W35" i="53"/>
  <c r="X32" i="53"/>
  <c r="W12" i="53"/>
  <c r="W26" i="53"/>
  <c r="W39" i="53"/>
  <c r="T4" i="53"/>
  <c r="T5" i="53"/>
  <c r="T9" i="53"/>
  <c r="X9" i="53"/>
  <c r="W8" i="53"/>
  <c r="X5" i="53"/>
  <c r="W4" i="53"/>
  <c r="T19" i="53"/>
  <c r="T23" i="53"/>
  <c r="X23" i="53"/>
  <c r="W22" i="53"/>
  <c r="X19" i="53"/>
  <c r="W18" i="53"/>
  <c r="T33" i="53"/>
  <c r="T37" i="53"/>
  <c r="X37" i="53"/>
  <c r="W36" i="53"/>
  <c r="X33" i="53"/>
  <c r="W32" i="53"/>
  <c r="T6" i="53"/>
  <c r="T10" i="53"/>
  <c r="X10" i="53"/>
  <c r="W9" i="53"/>
  <c r="X6" i="53"/>
  <c r="W5" i="53"/>
  <c r="T20" i="53"/>
  <c r="T24" i="53"/>
  <c r="X24" i="53"/>
  <c r="W23" i="53"/>
  <c r="X20" i="53"/>
  <c r="W19" i="53"/>
  <c r="T34" i="53"/>
  <c r="W37" i="53"/>
  <c r="X34" i="53"/>
  <c r="T11" i="53"/>
  <c r="X11" i="53"/>
  <c r="T25" i="53"/>
  <c r="X25" i="53"/>
  <c r="H4" i="53"/>
  <c r="I4" i="53"/>
  <c r="C4" i="53"/>
  <c r="F4" i="53"/>
  <c r="E4" i="53"/>
  <c r="G4" i="53"/>
  <c r="J4" i="53"/>
  <c r="J24" i="53"/>
  <c r="G24" i="53"/>
  <c r="I24" i="53"/>
  <c r="D24" i="53"/>
  <c r="C24" i="53"/>
  <c r="H24" i="53"/>
  <c r="D33" i="53"/>
  <c r="F33" i="53"/>
  <c r="I33" i="53"/>
  <c r="G33" i="53"/>
  <c r="H33" i="53"/>
  <c r="C33" i="53"/>
  <c r="E33" i="53"/>
  <c r="J33" i="53"/>
  <c r="H10" i="53"/>
  <c r="C10" i="53"/>
  <c r="G10" i="53"/>
  <c r="J10" i="53"/>
  <c r="E10" i="53"/>
  <c r="F10" i="53"/>
  <c r="D10" i="53"/>
  <c r="H34" i="53"/>
  <c r="F34" i="53"/>
  <c r="J34" i="53"/>
  <c r="G34" i="53"/>
  <c r="I34" i="53"/>
  <c r="E34" i="53"/>
  <c r="D34" i="53"/>
  <c r="G11" i="53"/>
  <c r="I11" i="53"/>
  <c r="C11" i="53"/>
  <c r="D11" i="53"/>
  <c r="H11" i="53"/>
  <c r="F11" i="53"/>
  <c r="H6" i="53"/>
  <c r="C6" i="53"/>
  <c r="I6" i="53"/>
  <c r="J20" i="53"/>
  <c r="D20" i="53"/>
  <c r="G20" i="53"/>
  <c r="C23" i="53"/>
  <c r="C22" i="53"/>
  <c r="F6" i="53"/>
  <c r="C20" i="53"/>
  <c r="F22" i="53"/>
  <c r="D6" i="53"/>
  <c r="J9" i="53"/>
  <c r="G9" i="53"/>
  <c r="F9" i="53"/>
  <c r="E22" i="53"/>
  <c r="H32" i="53"/>
  <c r="C32" i="53"/>
  <c r="I32" i="53"/>
  <c r="D36" i="53"/>
  <c r="I39" i="53"/>
  <c r="E39" i="53"/>
  <c r="F36" i="53"/>
  <c r="F32" i="53"/>
  <c r="I20" i="53"/>
  <c r="I9" i="53"/>
  <c r="J19" i="53"/>
  <c r="H20" i="53"/>
  <c r="H9" i="53"/>
  <c r="J5" i="53"/>
  <c r="D5" i="53"/>
  <c r="G5" i="53"/>
  <c r="E5" i="53"/>
  <c r="E6" i="53"/>
  <c r="H8" i="53"/>
  <c r="C8" i="53"/>
  <c r="D8" i="53"/>
  <c r="E19" i="53"/>
  <c r="I21" i="53"/>
  <c r="H22" i="53"/>
  <c r="D32" i="53"/>
  <c r="G36" i="53"/>
  <c r="G39" i="53"/>
  <c r="I38" i="53"/>
  <c r="E38" i="53"/>
  <c r="D18" i="53"/>
  <c r="F20" i="53"/>
  <c r="H7" i="53"/>
  <c r="G18" i="53"/>
  <c r="J21" i="53"/>
  <c r="I22" i="53"/>
  <c r="Y5" i="53"/>
  <c r="Y33" i="53"/>
  <c r="C12" i="53"/>
  <c r="C25" i="53"/>
  <c r="Y25" i="53"/>
  <c r="D12" i="53"/>
  <c r="D25" i="53"/>
  <c r="F21" i="53"/>
  <c r="H23" i="53"/>
  <c r="I35" i="53"/>
  <c r="J22" i="53"/>
  <c r="H18" i="53"/>
  <c r="D21" i="53"/>
  <c r="J36" i="53"/>
  <c r="E35" i="53"/>
  <c r="C21" i="53"/>
  <c r="G35" i="53"/>
  <c r="I18" i="53"/>
  <c r="E21" i="53"/>
  <c r="J32" i="53"/>
  <c r="C36" i="53"/>
  <c r="Y24" i="53"/>
  <c r="Y21" i="53"/>
  <c r="Y11" i="53"/>
  <c r="D35" i="53"/>
  <c r="H21" i="53"/>
  <c r="E23" i="53"/>
  <c r="D23" i="53"/>
  <c r="C35" i="53"/>
  <c r="J35" i="53"/>
  <c r="J23" i="53"/>
  <c r="I36" i="53"/>
  <c r="J18" i="53"/>
  <c r="G22" i="53"/>
  <c r="E32" i="53"/>
  <c r="H36" i="53"/>
  <c r="Y4" i="53"/>
  <c r="Y32" i="53"/>
  <c r="J12" i="53"/>
  <c r="J25" i="53"/>
  <c r="D38" i="53"/>
  <c r="H39" i="53"/>
  <c r="Y12" i="53"/>
  <c r="Y38" i="53"/>
  <c r="E18" i="53"/>
  <c r="C18" i="53"/>
  <c r="F35" i="53"/>
  <c r="F23" i="53"/>
  <c r="Y22" i="53"/>
  <c r="F38" i="53"/>
  <c r="W38" i="53"/>
  <c r="Y36" i="53"/>
  <c r="S24" i="53" l="1"/>
  <c r="S23" i="53"/>
  <c r="S37" i="53"/>
  <c r="AB21" i="53"/>
  <c r="AB18" i="53"/>
  <c r="AB6" i="53"/>
  <c r="AB35" i="53"/>
  <c r="AB24" i="53"/>
  <c r="AB9" i="53"/>
  <c r="AB7" i="53"/>
  <c r="AB34" i="53"/>
  <c r="AB20" i="53"/>
  <c r="AB26" i="53"/>
  <c r="AB36" i="53"/>
  <c r="AB33" i="53"/>
  <c r="AB5" i="53"/>
  <c r="AB25" i="53"/>
  <c r="AB10" i="53"/>
  <c r="AB22" i="53"/>
  <c r="AB11" i="53"/>
  <c r="AB23" i="53"/>
  <c r="AB39" i="53"/>
  <c r="AB8" i="53"/>
  <c r="AB38" i="53"/>
  <c r="AB4" i="53"/>
  <c r="S10" i="53"/>
  <c r="AB32" i="53"/>
  <c r="AB19" i="53"/>
  <c r="I27" i="3"/>
  <c r="AB12" i="53"/>
  <c r="AB37" i="53"/>
  <c r="S25" i="53"/>
  <c r="S12" i="53"/>
  <c r="H20" i="3" a="1"/>
  <c r="H25" i="3" s="1"/>
  <c r="E22" i="3"/>
  <c r="I22" i="3" s="1"/>
  <c r="E23" i="3"/>
  <c r="I23" i="3" s="1"/>
  <c r="E21" i="3"/>
  <c r="I21" i="3" s="1"/>
  <c r="S38" i="53"/>
  <c r="S35" i="53"/>
  <c r="S8" i="53"/>
  <c r="S18" i="53"/>
  <c r="S7" i="53"/>
  <c r="S21" i="53"/>
  <c r="S5" i="53"/>
  <c r="S11" i="53"/>
  <c r="S6" i="53"/>
  <c r="S19" i="53"/>
  <c r="S22" i="53"/>
  <c r="S20" i="53"/>
  <c r="S36" i="53"/>
  <c r="S32" i="53"/>
  <c r="S33" i="53"/>
  <c r="S39" i="53"/>
  <c r="S4" i="53"/>
  <c r="S9" i="53"/>
  <c r="S26" i="53"/>
  <c r="S34" i="53"/>
  <c r="D26" i="3"/>
  <c r="E25" i="3"/>
  <c r="I25" i="3" s="1"/>
  <c r="E24" i="3"/>
  <c r="I24" i="3" s="1"/>
  <c r="E20" i="3"/>
  <c r="I20" i="3" s="1"/>
  <c r="E26" i="3"/>
  <c r="I26" i="3" s="1"/>
  <c r="D23" i="3"/>
  <c r="D21" i="3"/>
  <c r="D22" i="3"/>
  <c r="D25" i="3"/>
  <c r="D27" i="3"/>
  <c r="F20" i="3" a="1"/>
  <c r="D24" i="3"/>
  <c r="H21" i="3" l="1"/>
  <c r="H23" i="3"/>
  <c r="H26" i="3"/>
  <c r="H24" i="3"/>
  <c r="H27" i="3"/>
  <c r="H20" i="3"/>
  <c r="H22" i="3"/>
  <c r="F24" i="3"/>
  <c r="F22" i="3"/>
  <c r="F25" i="3"/>
  <c r="J25" i="3" s="1"/>
  <c r="F20" i="3"/>
  <c r="F26" i="3"/>
  <c r="F21" i="3"/>
  <c r="F27" i="3"/>
  <c r="F23" i="3"/>
  <c r="J20" i="3" l="1"/>
  <c r="J27" i="3"/>
  <c r="J24" i="3"/>
  <c r="J23" i="3"/>
  <c r="J21" i="3"/>
  <c r="J26" i="3"/>
  <c r="J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Portatile</author>
  </authors>
  <commentList>
    <comment ref="B33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Su 7 scaglioni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4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Su 7 scaglioni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84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Vedere Categorie di prelievo
</t>
        </r>
      </text>
    </comment>
  </commentList>
</comments>
</file>

<file path=xl/sharedStrings.xml><?xml version="1.0" encoding="utf-8"?>
<sst xmlns="http://schemas.openxmlformats.org/spreadsheetml/2006/main" count="1621" uniqueCount="498">
  <si>
    <t>Decorrenza</t>
  </si>
  <si>
    <t>Cmem + CCR €/GJ</t>
  </si>
  <si>
    <t>Data di applicazione :</t>
  </si>
  <si>
    <t>Validità</t>
  </si>
  <si>
    <t>PCS di riferimento</t>
  </si>
  <si>
    <t>Qti</t>
  </si>
  <si>
    <t>NORD OCCIDENTALE</t>
  </si>
  <si>
    <t>€/GJ</t>
  </si>
  <si>
    <t>NORD ORIENTALE</t>
  </si>
  <si>
    <t>CENTRALE</t>
  </si>
  <si>
    <t>CENTRO-SUD ORIENTALE</t>
  </si>
  <si>
    <t>CENTRO-SUD OCCIDENTALE</t>
  </si>
  <si>
    <t>MERIDIONALE</t>
  </si>
  <si>
    <t>COMPONENTI DELLA VENDITA TUTELATI</t>
  </si>
  <si>
    <t>€/Smc</t>
  </si>
  <si>
    <t>Mat Prima</t>
  </si>
  <si>
    <t>Cmem + CCR</t>
  </si>
  <si>
    <t>QTmcv</t>
  </si>
  <si>
    <t xml:space="preserve">QOA </t>
  </si>
  <si>
    <t>INCLUSA IN CMEM</t>
  </si>
  <si>
    <t>QTmcv per Consip</t>
  </si>
  <si>
    <t>Cpr</t>
  </si>
  <si>
    <t>GRAD</t>
  </si>
  <si>
    <t>QVD</t>
  </si>
  <si>
    <r>
      <t>QVD</t>
    </r>
    <r>
      <rPr>
        <vertAlign val="subscript"/>
        <sz val="8"/>
        <rFont val="Arial"/>
        <family val="2"/>
      </rPr>
      <t>V</t>
    </r>
  </si>
  <si>
    <r>
      <t>QVD</t>
    </r>
    <r>
      <rPr>
        <vertAlign val="subscript"/>
        <sz val="8"/>
        <rFont val="Arial"/>
        <family val="2"/>
      </rPr>
      <t>f</t>
    </r>
    <r>
      <rPr>
        <sz val="8"/>
        <rFont val="Arial"/>
        <family val="2"/>
      </rPr>
      <t xml:space="preserve"> - DOMESTICI</t>
    </r>
  </si>
  <si>
    <t>€/Pdr/anno</t>
  </si>
  <si>
    <t>QVDf - DOM</t>
  </si>
  <si>
    <r>
      <t>QVD</t>
    </r>
    <r>
      <rPr>
        <vertAlign val="subscript"/>
        <sz val="8"/>
        <rFont val="Arial"/>
        <family val="2"/>
      </rPr>
      <t>f</t>
    </r>
    <r>
      <rPr>
        <sz val="8"/>
        <rFont val="Arial"/>
        <family val="2"/>
      </rPr>
      <t xml:space="preserve"> - CONDOMINI USO DOMESTICO/SERVIZI PUBBLICI/ALTRI USI &lt;50.000</t>
    </r>
  </si>
  <si>
    <t>QVDf - COND</t>
  </si>
  <si>
    <r>
      <t>QVD</t>
    </r>
    <r>
      <rPr>
        <b/>
        <vertAlign val="subscript"/>
        <sz val="8"/>
        <rFont val="Arial"/>
        <family val="2"/>
      </rPr>
      <t xml:space="preserve">V </t>
    </r>
    <r>
      <rPr>
        <b/>
        <sz val="8"/>
        <rFont val="Arial"/>
        <family val="2"/>
      </rPr>
      <t>T08-T09</t>
    </r>
  </si>
  <si>
    <t xml:space="preserve">COMPONENTI DELLA DISTRIBUZIONE  </t>
  </si>
  <si>
    <t>0-120</t>
  </si>
  <si>
    <t>121-480</t>
  </si>
  <si>
    <t>481-1560</t>
  </si>
  <si>
    <t>1561-5000</t>
  </si>
  <si>
    <t>5001-80000</t>
  </si>
  <si>
    <t>80001-200000</t>
  </si>
  <si>
    <t>200001-1000000</t>
  </si>
  <si>
    <t>Oltre 1000000</t>
  </si>
  <si>
    <t>Riferimenti</t>
  </si>
  <si>
    <t>QV</t>
  </si>
  <si>
    <t>c€/Smc</t>
  </si>
  <si>
    <t>UG1</t>
  </si>
  <si>
    <t>UG2</t>
  </si>
  <si>
    <r>
      <t>UG2</t>
    </r>
    <r>
      <rPr>
        <vertAlign val="subscript"/>
        <sz val="8"/>
        <rFont val="Arial"/>
        <family val="2"/>
      </rPr>
      <t xml:space="preserve">V </t>
    </r>
    <r>
      <rPr>
        <sz val="8"/>
        <rFont val="Arial"/>
        <family val="2"/>
      </rPr>
      <t>(=UG2c+UG2k) consumi annui inferiori a 200.000 €/Smc</t>
    </r>
  </si>
  <si>
    <r>
      <t>UG2</t>
    </r>
    <r>
      <rPr>
        <vertAlign val="subscript"/>
        <sz val="8"/>
        <rFont val="Arial"/>
        <family val="2"/>
      </rPr>
      <t xml:space="preserve">V </t>
    </r>
    <r>
      <rPr>
        <sz val="8"/>
        <rFont val="Arial"/>
        <family val="2"/>
      </rPr>
      <t>(=UG2c+UG2k) consumi annui superiori a 200.000 €/Smc</t>
    </r>
  </si>
  <si>
    <t>GS</t>
  </si>
  <si>
    <t>RE</t>
  </si>
  <si>
    <t>GST</t>
  </si>
  <si>
    <t>RET</t>
  </si>
  <si>
    <t>UG3T</t>
  </si>
  <si>
    <t>RS</t>
  </si>
  <si>
    <t>UG3</t>
  </si>
  <si>
    <r>
      <t>UG2</t>
    </r>
    <r>
      <rPr>
        <vertAlign val="subscript"/>
        <sz val="8"/>
        <rFont val="Arial"/>
        <family val="2"/>
      </rPr>
      <t>F</t>
    </r>
  </si>
  <si>
    <t xml:space="preserve">COMPONENTI FISSE DELLA DISTRIBUZIONE  </t>
  </si>
  <si>
    <t>CLASSE</t>
  </si>
  <si>
    <t>G4-G6</t>
  </si>
  <si>
    <t>G10-G40</t>
  </si>
  <si>
    <t>oltre G40</t>
  </si>
  <si>
    <t>QF dis</t>
  </si>
  <si>
    <t>QF mis</t>
  </si>
  <si>
    <t>QF cot</t>
  </si>
  <si>
    <t>ST</t>
  </si>
  <si>
    <t>VR</t>
  </si>
  <si>
    <t>CE</t>
  </si>
  <si>
    <t>COL</t>
  </si>
  <si>
    <t>COM</t>
  </si>
  <si>
    <t xml:space="preserve">COM </t>
  </si>
  <si>
    <t>AMBITO</t>
  </si>
  <si>
    <t>sca1</t>
  </si>
  <si>
    <t>sca2</t>
  </si>
  <si>
    <t>sca3</t>
  </si>
  <si>
    <t>sca4</t>
  </si>
  <si>
    <t>sca5</t>
  </si>
  <si>
    <t>sca6</t>
  </si>
  <si>
    <t>sca7</t>
  </si>
  <si>
    <t>sca8</t>
  </si>
  <si>
    <t>tot</t>
  </si>
  <si>
    <t>Consumo annuo (Smc)</t>
  </si>
  <si>
    <t>SCA</t>
  </si>
  <si>
    <t>QT+TD+RS+UG1</t>
  </si>
  <si>
    <t>RE+UG2+UG3+GS</t>
  </si>
  <si>
    <t>OLTRE</t>
  </si>
  <si>
    <t>GESTIONE CONTATORE</t>
  </si>
  <si>
    <t>SPESA PER ONERI DI SISTEMA</t>
  </si>
  <si>
    <t>DOMESTICO</t>
  </si>
  <si>
    <t>NON DOMESTICO</t>
  </si>
  <si>
    <t>NON DOMESTICO &lt;5.000</t>
  </si>
  <si>
    <t>NON DOMESTICO &gt;5.000</t>
  </si>
  <si>
    <t>DOMESTICO CEV</t>
  </si>
  <si>
    <t>NON DOMESTICO &gt;5.000 CONSIP</t>
  </si>
  <si>
    <t>CONDOMINI 50-150</t>
  </si>
  <si>
    <t>CONDOMINI &gt;150</t>
  </si>
  <si>
    <t>COMUNE</t>
  </si>
  <si>
    <t>SOCIETA'</t>
  </si>
  <si>
    <t>COMUNE_SOCIETA'</t>
  </si>
  <si>
    <t>NOC</t>
  </si>
  <si>
    <t>NOR</t>
  </si>
  <si>
    <t>CEN</t>
  </si>
  <si>
    <t>SOR</t>
  </si>
  <si>
    <t>SOC</t>
  </si>
  <si>
    <t>MER</t>
  </si>
  <si>
    <t>LOTTO CONSIP</t>
  </si>
  <si>
    <t>REGIONE</t>
  </si>
  <si>
    <t>QVD €/GJ</t>
  </si>
  <si>
    <t>remi definitivo</t>
  </si>
  <si>
    <t>remi variati</t>
  </si>
  <si>
    <t>STANDARD</t>
  </si>
  <si>
    <t>CEN_STANDARD</t>
  </si>
  <si>
    <t>ND</t>
  </si>
  <si>
    <t>comuni aggiunti</t>
  </si>
  <si>
    <t>MER_STANDARD</t>
  </si>
  <si>
    <t>NOC_STANDARD</t>
  </si>
  <si>
    <t>NOR_STANDARD</t>
  </si>
  <si>
    <t>SOC_STANDARD</t>
  </si>
  <si>
    <t>SOR_STANDARD</t>
  </si>
  <si>
    <t>VENETO</t>
  </si>
  <si>
    <t>ASIAGO</t>
  </si>
  <si>
    <t>BAGNOLI DI SOPRA</t>
  </si>
  <si>
    <t>BASSANO DEL GRAPPA</t>
  </si>
  <si>
    <t>EMILIA-ROMAGNA</t>
  </si>
  <si>
    <t>CADONEGHE</t>
  </si>
  <si>
    <t>CASSOLA</t>
  </si>
  <si>
    <t>CERVARESE SANTA CROCE</t>
  </si>
  <si>
    <t>CITTADELLA</t>
  </si>
  <si>
    <t>CONCO</t>
  </si>
  <si>
    <t>ENEGO</t>
  </si>
  <si>
    <t>ESTE</t>
  </si>
  <si>
    <t>FONTANIVA</t>
  </si>
  <si>
    <t>GALLIERA VENETA</t>
  </si>
  <si>
    <t>GAZZO</t>
  </si>
  <si>
    <t>LIMENA</t>
  </si>
  <si>
    <t>LOREGGIA</t>
  </si>
  <si>
    <t>MASI</t>
  </si>
  <si>
    <t>MESTRINO</t>
  </si>
  <si>
    <t>MONSELICE</t>
  </si>
  <si>
    <t>MUSSOLENTE</t>
  </si>
  <si>
    <t>POVE DEL GRAPPA</t>
  </si>
  <si>
    <t>ROANA</t>
  </si>
  <si>
    <t>ROMANO D'EZZELINO</t>
  </si>
  <si>
    <t>ROSA'</t>
  </si>
  <si>
    <t>ROSSANO VENETO</t>
  </si>
  <si>
    <t>ROVOLON</t>
  </si>
  <si>
    <t>RUBANO</t>
  </si>
  <si>
    <t>SACCOLONGO</t>
  </si>
  <si>
    <t>SAN GIORGIO IN BOSCO</t>
  </si>
  <si>
    <t>SAN PIETRO IN GU</t>
  </si>
  <si>
    <t>SELVAZZANO DENTRO</t>
  </si>
  <si>
    <t>TEOLO</t>
  </si>
  <si>
    <t>TORREGLIA</t>
  </si>
  <si>
    <t>VEGGIANO</t>
  </si>
  <si>
    <t>VIGONZA</t>
  </si>
  <si>
    <t>VILLAFRANCA PADOVANA</t>
  </si>
  <si>
    <t>BORGORICCO</t>
  </si>
  <si>
    <t>CAMISANO VICENTINO</t>
  </si>
  <si>
    <t>CAMPO SAN MARTINO</t>
  </si>
  <si>
    <t>CAMPODARSEGO</t>
  </si>
  <si>
    <t>CAMPODORO</t>
  </si>
  <si>
    <t>CAMPOSAMPIERO</t>
  </si>
  <si>
    <t>CARMIGNANO DI BRENTA</t>
  </si>
  <si>
    <t>CARTIGLIANO</t>
  </si>
  <si>
    <t>GALLIO</t>
  </si>
  <si>
    <t>MAROSTICA</t>
  </si>
  <si>
    <t>MASON VICENTINO</t>
  </si>
  <si>
    <t>MASSANZAGO</t>
  </si>
  <si>
    <t>MOLVENA</t>
  </si>
  <si>
    <t>PIANEZZE</t>
  </si>
  <si>
    <t>PIAZZOLA SUL BRENTA</t>
  </si>
  <si>
    <t>SAN GIORGIO DELLE PERTICHE</t>
  </si>
  <si>
    <t>SAN MARTINO DI LUPARI</t>
  </si>
  <si>
    <t>SANTA GIUSTINA IN COLLE</t>
  </si>
  <si>
    <t>SCHIAVON</t>
  </si>
  <si>
    <t>TEZZE SUL BRENTA</t>
  </si>
  <si>
    <t>TOMBOLO</t>
  </si>
  <si>
    <t>VILLA DEL CONTE</t>
  </si>
  <si>
    <t>VILLANOVA DI CAMPOSAMPIERO</t>
  </si>
  <si>
    <t>ADRIA</t>
  </si>
  <si>
    <t>ASM_SET</t>
  </si>
  <si>
    <t>ADRIA_ASM_SET</t>
  </si>
  <si>
    <t>ANGUILLARA VENETA</t>
  </si>
  <si>
    <t>ANGUILLARA VENETA_ASM_SET</t>
  </si>
  <si>
    <t>ARQUA' POLESINE</t>
  </si>
  <si>
    <t>ARQUA' POLESINE_ASM_SET</t>
  </si>
  <si>
    <t>BADIA POLESINE</t>
  </si>
  <si>
    <t>BADIA POLESINE_ASM_SET</t>
  </si>
  <si>
    <t>BAGNOLI DI SOPRA_ASM_SET</t>
  </si>
  <si>
    <t>BAGNOLO DI PO</t>
  </si>
  <si>
    <t>BAGNOLO DI PO_ASM_SET</t>
  </si>
  <si>
    <t>BARBONA</t>
  </si>
  <si>
    <t>BARBONA_ASM_SET</t>
  </si>
  <si>
    <t>BERGANTINO</t>
  </si>
  <si>
    <t>BERGANTINO_ASM_SET</t>
  </si>
  <si>
    <t>BOARA PISANI</t>
  </si>
  <si>
    <t>BOARA PISANI_ASM_SET</t>
  </si>
  <si>
    <t>BOSARO</t>
  </si>
  <si>
    <t>BOSARO_ASM_SET</t>
  </si>
  <si>
    <t>CALTO</t>
  </si>
  <si>
    <t>CALTO_ASM_SET</t>
  </si>
  <si>
    <t>CANARO</t>
  </si>
  <si>
    <t>CANARO_ASM_SET</t>
  </si>
  <si>
    <t>CANDA</t>
  </si>
  <si>
    <t>CANDA_ASM_SET</t>
  </si>
  <si>
    <t>CASTELBALDO</t>
  </si>
  <si>
    <t>CASTELBALDO_ASM_SET</t>
  </si>
  <si>
    <t>CASTELGUGLIELMO</t>
  </si>
  <si>
    <t>CASTELGUGLIELMO_ASM_SET</t>
  </si>
  <si>
    <t>CASTELMASSA</t>
  </si>
  <si>
    <t>CASTELMASSA_ASM_SET</t>
  </si>
  <si>
    <t>CASTELNOVO BARIANO</t>
  </si>
  <si>
    <t>CASTELNOVO BARIANO_ASM_SET</t>
  </si>
  <si>
    <t>CENESELLI</t>
  </si>
  <si>
    <t>CENESELLI_ASM_SET</t>
  </si>
  <si>
    <t>CEREGNANO</t>
  </si>
  <si>
    <t>CEREGNANO_ASM_SET</t>
  </si>
  <si>
    <t>COSTA DI ROVIGO</t>
  </si>
  <si>
    <t>COSTA DI ROVIGO_ASM_SET</t>
  </si>
  <si>
    <t>CRESPINO</t>
  </si>
  <si>
    <t>CRESPINO_ASM_SET</t>
  </si>
  <si>
    <t>ESTE_ASM_SET</t>
  </si>
  <si>
    <t>FICAROLO</t>
  </si>
  <si>
    <t>FICAROLO_ASM_SET</t>
  </si>
  <si>
    <t>FIESSO UMBERTIANO</t>
  </si>
  <si>
    <t>FIESSO UMBERTIANO_ASM_SET</t>
  </si>
  <si>
    <t>FRASSINELLE POLESINE</t>
  </si>
  <si>
    <t>FRASSINELLE POLESINE_ASM_SET</t>
  </si>
  <si>
    <t>FRATTA POLESINE</t>
  </si>
  <si>
    <t>FRATTA POLESINE_ASM_SET</t>
  </si>
  <si>
    <t>GAIBA</t>
  </si>
  <si>
    <t>GAIBA_ASM_SET</t>
  </si>
  <si>
    <t>GAVELLO</t>
  </si>
  <si>
    <t>GAVELLO_ASM_SET</t>
  </si>
  <si>
    <t>GIACCIANO CON BARUCHELLA</t>
  </si>
  <si>
    <t>GIACCIANO CON BARUCHELLA_ASM_SET</t>
  </si>
  <si>
    <t>GRANZE</t>
  </si>
  <si>
    <t>GRANZE_ASM_SET</t>
  </si>
  <si>
    <t>GUARDA VENETA</t>
  </si>
  <si>
    <t>GUARDA VENETA_ASM_SET</t>
  </si>
  <si>
    <t>LENDINARA</t>
  </si>
  <si>
    <t>LENDINARA_ASM_SET</t>
  </si>
  <si>
    <t>LUSIA</t>
  </si>
  <si>
    <t>LUSIA_ASM_SET</t>
  </si>
  <si>
    <t>MASI_ASM_SET</t>
  </si>
  <si>
    <t>MELARA</t>
  </si>
  <si>
    <t>MELARA_ASM_SET</t>
  </si>
  <si>
    <t>MONSELICE_ASM_SET</t>
  </si>
  <si>
    <t>OCCHIOBELLO</t>
  </si>
  <si>
    <t>OCCHIOBELLO_ASM_SET</t>
  </si>
  <si>
    <t>PAPOZZE</t>
  </si>
  <si>
    <t>PAPOZZE_ASM_SET</t>
  </si>
  <si>
    <t>PETTORAZZA GRIMANI</t>
  </si>
  <si>
    <t>PETTORAZZA GRIMANI_ASM_SET</t>
  </si>
  <si>
    <t>PIACENZA D'ADIGE</t>
  </si>
  <si>
    <t>PIACENZA D'ADIGE_ASM_SET</t>
  </si>
  <si>
    <t>PINCARA</t>
  </si>
  <si>
    <t>PINCARA_ASM_SET</t>
  </si>
  <si>
    <t>POLESELLA</t>
  </si>
  <si>
    <t>POLESELLA_ASM_SET</t>
  </si>
  <si>
    <t>PONTECCHIO POLESINE</t>
  </si>
  <si>
    <t>PONTECCHIO POLESINE_ASM_SET</t>
  </si>
  <si>
    <t>POZZONOVO</t>
  </si>
  <si>
    <t>POZZONOVO_ASM_SET</t>
  </si>
  <si>
    <t>ROVIGO</t>
  </si>
  <si>
    <t>ROVIGO_ASM_SET</t>
  </si>
  <si>
    <t>SALARA</t>
  </si>
  <si>
    <t>SALARA_ASM_SET</t>
  </si>
  <si>
    <t>SAN BELLINO</t>
  </si>
  <si>
    <t>SAN BELLINO_ASM_SET</t>
  </si>
  <si>
    <t>SAN MARTINO DI VENEZZE</t>
  </si>
  <si>
    <t>SAN MARTINO DI VENEZZE_ASM_SET</t>
  </si>
  <si>
    <t>SANT'ELENA</t>
  </si>
  <si>
    <t>SANT'ELENA_ASM_SET</t>
  </si>
  <si>
    <t>SOLESINO</t>
  </si>
  <si>
    <t>SOLESINO_ASM_SET</t>
  </si>
  <si>
    <t>STANGHELLA</t>
  </si>
  <si>
    <t>STANGHELLA_ASM_SET</t>
  </si>
  <si>
    <t>STIENTA</t>
  </si>
  <si>
    <t>STIENTA_ASM_SET</t>
  </si>
  <si>
    <t>TRECENTA</t>
  </si>
  <si>
    <t>TRECENTA_ASM_SET</t>
  </si>
  <si>
    <t>TRIBANO</t>
  </si>
  <si>
    <t>TRIBANO_ASM_SET</t>
  </si>
  <si>
    <t>VESCOVANA</t>
  </si>
  <si>
    <t>VESCOVANA_ASM_SET</t>
  </si>
  <si>
    <t>VILLA ESTENSE</t>
  </si>
  <si>
    <t>VILLA ESTENSE_ASM_SET</t>
  </si>
  <si>
    <t>VILLADOSE</t>
  </si>
  <si>
    <t>VILLADOSE_ASM_SET</t>
  </si>
  <si>
    <t>VILLAMARZANA</t>
  </si>
  <si>
    <t>VILLAMARZANA_ASM_SET</t>
  </si>
  <si>
    <t>VILLANOVA DEL GHEBBO</t>
  </si>
  <si>
    <t>VILLANOVA DEL GHEBBO_ASM_SET</t>
  </si>
  <si>
    <t>VILLANOVA MARCHESANA</t>
  </si>
  <si>
    <t>VILLANOVA MARCHESANA_ASM_SET</t>
  </si>
  <si>
    <t>ETRA_ENERGIA</t>
  </si>
  <si>
    <t>ASIAGO_ETRA_ENERGIA</t>
  </si>
  <si>
    <t>BASSANO DEL GRAPPA_ETRA_ENERGIA</t>
  </si>
  <si>
    <t>BORGORICCO_ETRA_ENERGIA</t>
  </si>
  <si>
    <t>CADONEGHE_ETRA_ENERGIA</t>
  </si>
  <si>
    <t>CAMISANO VICENTINO_ETRA_ENERGIA</t>
  </si>
  <si>
    <t>CAMPO SAN MARTINO_ETRA_ENERGIA</t>
  </si>
  <si>
    <t>CAMPODARSEGO_ETRA_ENERGIA</t>
  </si>
  <si>
    <t>CAMPODORO_ETRA_ENERGIA</t>
  </si>
  <si>
    <t>CAMPOLONGO SUL BRENTA</t>
  </si>
  <si>
    <t>CAMPOLONGO SUL BRENTA_ETRA_ENERGIA</t>
  </si>
  <si>
    <t>CAMPOSAMPIERO_ETRA_ENERGIA</t>
  </si>
  <si>
    <t>CARMIGNANO DI BRENTA_ETRA_ENERGIA</t>
  </si>
  <si>
    <t>CARTIGLIANO_ETRA_ENERGIA</t>
  </si>
  <si>
    <t>CASSOLA_ETRA_ENERGIA</t>
  </si>
  <si>
    <t>CERVARESE SANTA CROCE_ETRA_ENERGIA</t>
  </si>
  <si>
    <t>CISMON DEL GRAPPA</t>
  </si>
  <si>
    <t>CISMON DEL GRAPPA_ETRA_ENERGIA</t>
  </si>
  <si>
    <t>CITTADELLA_ETRA_ENERGIA</t>
  </si>
  <si>
    <t>CONCO_ETRA_ENERGIA</t>
  </si>
  <si>
    <t>CURTAROLO</t>
  </si>
  <si>
    <t>CURTAROLO_ETRA_ENERGIA</t>
  </si>
  <si>
    <t>ENEGO_ETRA_ENERGIA</t>
  </si>
  <si>
    <t>FONTANIVA_ETRA_ENERGIA</t>
  </si>
  <si>
    <t>GALLIERA VENETA_ETRA_ENERGIA</t>
  </si>
  <si>
    <t>GALLIO_ETRA_ENERGIA</t>
  </si>
  <si>
    <t>GAZZO_ETRA_ENERGIA</t>
  </si>
  <si>
    <t>GRANTORTO</t>
  </si>
  <si>
    <t>GRANTORTO_ETRA_ENERGIA</t>
  </si>
  <si>
    <t>GRISIGNANO DI ZOCCO</t>
  </si>
  <si>
    <t>GRISIGNANO DI ZOCCO_ETRA_ENERGIA</t>
  </si>
  <si>
    <t>LIMENA_ETRA_ENERGIA</t>
  </si>
  <si>
    <t>LOREGGIA_ETRA_ENERGIA</t>
  </si>
  <si>
    <t>LUSIANA</t>
  </si>
  <si>
    <t>LUSIANA_ETRA_ENERGIA</t>
  </si>
  <si>
    <t>LUSIANA CONCO</t>
  </si>
  <si>
    <t>LUSIANA CONCO_ETRA_ENERGIA</t>
  </si>
  <si>
    <t>MAROSTICA_ETRA_ENERGIA</t>
  </si>
  <si>
    <t>MASON VICENTINO_ETRA_ENERGIA</t>
  </si>
  <si>
    <t>MASSANZAGO_ETRA_ENERGIA</t>
  </si>
  <si>
    <t>MESTRINO_ETRA_ENERGIA</t>
  </si>
  <si>
    <t>MOLVENA_ETRA_ENERGIA</t>
  </si>
  <si>
    <t>MUSSOLENTE_ETRA_ENERGIA</t>
  </si>
  <si>
    <t>NOVE</t>
  </si>
  <si>
    <t>NOVE_ETRA_ENERGIA</t>
  </si>
  <si>
    <t>NOVENTA PADOVANA</t>
  </si>
  <si>
    <t>NOVENTA PADOVANA_ETRA_ENERGIA</t>
  </si>
  <si>
    <t>PIANEZZE_ETRA_ENERGIA</t>
  </si>
  <si>
    <t>PIAZZOLA SUL BRENTA_ETRA_ENERGIA</t>
  </si>
  <si>
    <t>POVE DEL GRAPPA_ETRA_ENERGIA</t>
  </si>
  <si>
    <t>ROANA_ETRA_ENERGIA</t>
  </si>
  <si>
    <t>ROMANO D'EZZELINO_ETRA_ENERGIA</t>
  </si>
  <si>
    <t>ROSA'_ETRA_ENERGIA</t>
  </si>
  <si>
    <t>ROSSANO VENETO_ETRA_ENERGIA</t>
  </si>
  <si>
    <t>ROTZO</t>
  </si>
  <si>
    <t>ROTZO_ETRA_ENERGIA</t>
  </si>
  <si>
    <t>ROVOLON_ETRA_ENERGIA</t>
  </si>
  <si>
    <t>RUBANO_ETRA_ENERGIA</t>
  </si>
  <si>
    <t>SACCOLONGO_ETRA_ENERGIA</t>
  </si>
  <si>
    <t>SAN GIORGIO DELLE PERTICHE_ETRA_ENERGIA</t>
  </si>
  <si>
    <t>SAN GIORGIO IN BOSCO_ETRA_ENERGIA</t>
  </si>
  <si>
    <t>SAN MARTINO DI LUPARI_ETRA_ENERGIA</t>
  </si>
  <si>
    <t>SAN NAZARIO</t>
  </si>
  <si>
    <t>SAN NAZARIO_ETRA_ENERGIA</t>
  </si>
  <si>
    <t>SAN PIETRO IN GU_ETRA_ENERGIA</t>
  </si>
  <si>
    <t>SANTA GIUSTINA IN COLLE_ETRA_ENERGIA</t>
  </si>
  <si>
    <t>SAONARA</t>
  </si>
  <si>
    <t>SAONARA_ETRA_ENERGIA</t>
  </si>
  <si>
    <t>SCHIAVON_ETRA_ENERGIA</t>
  </si>
  <si>
    <t>SELVAZZANO DENTRO_ETRA_ENERGIA</t>
  </si>
  <si>
    <t>SOLAGNA</t>
  </si>
  <si>
    <t>SOLAGNA_ETRA_ENERGIA</t>
  </si>
  <si>
    <t>TEOLO_ETRA_ENERGIA</t>
  </si>
  <si>
    <t>TEZZE SUL BRENTA_ETRA_ENERGIA</t>
  </si>
  <si>
    <t>TOMBOLO_ETRA_ENERGIA</t>
  </si>
  <si>
    <t>TORREGLIA_ETRA_ENERGIA</t>
  </si>
  <si>
    <t>VALSTAGNA</t>
  </si>
  <si>
    <t>VALSTAGNA_ETRA_ENERGIA</t>
  </si>
  <si>
    <t>VEGGIANO_ETRA_ENERGIA</t>
  </si>
  <si>
    <t>VIGODARZERE</t>
  </si>
  <si>
    <t>VIGODARZERE_ETRA_ENERGIA</t>
  </si>
  <si>
    <t>VIGONZA_ETRA_ENERGIA</t>
  </si>
  <si>
    <t>VILLA DEL CONTE_ETRA_ENERGIA</t>
  </si>
  <si>
    <t>VILLAFRANCA PADOVANA_ETRA_ENERGIA</t>
  </si>
  <si>
    <t>VILLANOVA DI CAMPOSAMPIERO_ETRA_ENERGIA</t>
  </si>
  <si>
    <t>T01</t>
  </si>
  <si>
    <t>in vigore al</t>
  </si>
  <si>
    <t>Società</t>
  </si>
  <si>
    <t>Comune</t>
  </si>
  <si>
    <t>Classe contatore</t>
  </si>
  <si>
    <t>Ambito</t>
  </si>
  <si>
    <t>Comune_Società</t>
  </si>
  <si>
    <t>Potere Calorifico Superiore Convenzionale (MJ/Smc)</t>
  </si>
  <si>
    <t>TABELLA CONDIZIONI ECONOMICHE</t>
  </si>
  <si>
    <t>SCAGLIONI DI CONSUMO</t>
  </si>
  <si>
    <t>SPESA PER LA MATERIA GAS NATURALE</t>
  </si>
  <si>
    <t>SPESA PER IL TRASPORTO E LA GESTIONE DEL CONTATORE</t>
  </si>
  <si>
    <t>TOTALE TARIFFA</t>
  </si>
  <si>
    <t>da</t>
  </si>
  <si>
    <t>a</t>
  </si>
  <si>
    <t>QUOTA ENERGIA</t>
  </si>
  <si>
    <t>QUOTA FISSA</t>
  </si>
  <si>
    <t>Smc</t>
  </si>
  <si>
    <t>euro/cliente/anno</t>
  </si>
  <si>
    <t>euro/smc</t>
  </si>
  <si>
    <r>
      <t xml:space="preserve">Gli importi sono calcolati con applicazione delle Condizioni Economiche di Fornitura in vigore al </t>
    </r>
    <r>
      <rPr>
        <b/>
        <sz val="10"/>
        <color indexed="10"/>
        <rFont val="Calibri"/>
        <family val="2"/>
      </rPr>
      <t/>
    </r>
  </si>
  <si>
    <t>I relativi valori devono pertanto considerarsi indicativi e soggetti a variazioni periodiche come di seguito indicato:</t>
  </si>
  <si>
    <r>
      <t xml:space="preserve">Spesa per la materia gas naturale </t>
    </r>
    <r>
      <rPr>
        <sz val="9"/>
        <color indexed="8"/>
        <rFont val="Calibri"/>
        <family val="2"/>
      </rPr>
      <t xml:space="preserve">= si divide in quota fissa e quota energia e comprende gli importi fatturati relativamente alle diverse attività svolte dal venditore per fornire il gas </t>
    </r>
  </si>
  <si>
    <t>è stato pari a</t>
  </si>
  <si>
    <r>
      <t>Spesa per il trasporto e la gestione del contatore =</t>
    </r>
    <r>
      <rPr>
        <sz val="9"/>
        <color indexed="8"/>
        <rFont val="Calibri"/>
        <family val="2"/>
      </rPr>
      <t xml:space="preserve">  si divide in quota fissa e quota energia e comprende gli importi fatturati per le diverse attività che consentono ai venditori di consegnare </t>
    </r>
  </si>
  <si>
    <r>
      <t>Spesa per oneri di sistema</t>
    </r>
    <r>
      <rPr>
        <sz val="9"/>
        <color indexed="8"/>
        <rFont val="Calibri"/>
        <family val="2"/>
      </rPr>
      <t xml:space="preserve"> = si divide in quota fissa e quota energia e comprende gli importi fatturati relativamente a corrispettivi destinati alla copertura di costi relativi ad attività di </t>
    </r>
  </si>
  <si>
    <t>Detti importi sono al netto delle imposte e tasse.</t>
  </si>
  <si>
    <r>
      <t xml:space="preserve">Il Bonus Sociale per la fornitura di gas naturale del Ministero dello Sviluppo Economico per le famiglie in disagio economico può essere chiesto al proprio Comune. Per informazioni visita </t>
    </r>
    <r>
      <rPr>
        <u/>
        <sz val="9"/>
        <color indexed="56"/>
        <rFont val="Calibri"/>
        <family val="2"/>
      </rPr>
      <t>www.arera.it</t>
    </r>
    <r>
      <rPr>
        <sz val="9"/>
        <color indexed="8"/>
        <rFont val="Calibri"/>
        <family val="2"/>
      </rPr>
      <t xml:space="preserve"> o chiama il numero verde 800.166.654</t>
    </r>
  </si>
  <si>
    <t>Per maggiori dettagli sulle voci di spesa è possibile consultare la Guida alla Bolletta 2.0 pubblicata sul sito dell'Autorità di Regolazione per Energia Reti e Ambiente al link:</t>
  </si>
  <si>
    <t>https://www.arera.it/it/bonus_sociale.htm</t>
  </si>
  <si>
    <t>CMEMm (PSV D.A.)</t>
  </si>
  <si>
    <t>valide per il mese di</t>
  </si>
  <si>
    <t>e valide per il mese di</t>
  </si>
  <si>
    <t>interesse generale per il sistema gas che vengono pagati da tutti i clienti finali del servizio gas. Si aggiorna ai sensi della delibera ARERA ARG/Gas 159/08 del 06/11/2008 e s.m.i.</t>
  </si>
  <si>
    <t>TAGLIO DI PO</t>
  </si>
  <si>
    <t>PORTO TOLLE</t>
  </si>
  <si>
    <t>SANT'URBANO</t>
  </si>
  <si>
    <t>VIGARANO MAINARDA</t>
  </si>
  <si>
    <t>TERRE DEL RENO</t>
  </si>
  <si>
    <t>BONDENO</t>
  </si>
  <si>
    <t>FERRARA</t>
  </si>
  <si>
    <t>TRESIGNANA</t>
  </si>
  <si>
    <t>ARIANO NEL POLESINE</t>
  </si>
  <si>
    <t>SERMIDE E FELONICA</t>
  </si>
  <si>
    <t>VIGHIZZOLO D'ESTE</t>
  </si>
  <si>
    <t>PERNUMIA</t>
  </si>
  <si>
    <t>AGNA</t>
  </si>
  <si>
    <t>CORBOLA</t>
  </si>
  <si>
    <t>COMACCHIO</t>
  </si>
  <si>
    <t>COLCERESA</t>
  </si>
  <si>
    <t>VALBRENTA-EX SAN NAZARIO</t>
  </si>
  <si>
    <t>LUSIANA CONCO-EX LUSIANA</t>
  </si>
  <si>
    <t>COLCERESA-EX MOLVENA</t>
  </si>
  <si>
    <t>VALBRENTA-EX VALSTAGNA</t>
  </si>
  <si>
    <t>VALBRENTA</t>
  </si>
  <si>
    <t>VALBRENTA-EX CISMON DEL GRAPPA</t>
  </si>
  <si>
    <t>FOZA</t>
  </si>
  <si>
    <t>GALZIGNANO TERME</t>
  </si>
  <si>
    <t>MONTEGROTTO TERME</t>
  </si>
  <si>
    <t>ASIGLIANO VENETO</t>
  </si>
  <si>
    <t>PADOVA</t>
  </si>
  <si>
    <t>ABANO TERME</t>
  </si>
  <si>
    <t>TREBASELEGHE</t>
  </si>
  <si>
    <t>PIOMBINO DESE</t>
  </si>
  <si>
    <t>TAGLIO DI PO_ASM_SET</t>
  </si>
  <si>
    <t>PORTO TOLLE_ASM_SET</t>
  </si>
  <si>
    <t>SANT'URBANO_ASM_SET</t>
  </si>
  <si>
    <t>VIGARANO MAINARDA_ASM_SET</t>
  </si>
  <si>
    <t>TERRE DEL RENO_ASM_SET</t>
  </si>
  <si>
    <t>BONDENO_ASM_SET</t>
  </si>
  <si>
    <t>FERRARA_ASM_SET</t>
  </si>
  <si>
    <t>TRESIGNANA_ASM_SET</t>
  </si>
  <si>
    <t>ARIANO NEL POLESINE_ASM_SET</t>
  </si>
  <si>
    <t>SERMIDE E FELONICA_ASM_SET</t>
  </si>
  <si>
    <t>VIGHIZZOLO D'ESTE_ASM_SET</t>
  </si>
  <si>
    <t>PERNUMIA_ASM_SET</t>
  </si>
  <si>
    <t>AGNA_ASM_SET</t>
  </si>
  <si>
    <t>CORBOLA_ASM_SET</t>
  </si>
  <si>
    <t>COMACCHIO_ASM_SET</t>
  </si>
  <si>
    <t>COLCERESA_ETRA_ENERGIA</t>
  </si>
  <si>
    <t>VALBRENTA-EX SAN NAZARIO_ETRA_ENERGIA</t>
  </si>
  <si>
    <t>LUSIANA CONCO-EX LUSIANA_ETRA_ENERGIA</t>
  </si>
  <si>
    <t>COLCERESA-EX MOLVENA_ETRA_ENERGIA</t>
  </si>
  <si>
    <t>VALBRENTA-EX VALSTAGNA_ETRA_ENERGIA</t>
  </si>
  <si>
    <t>VALBRENTA_ETRA_ENERGIA</t>
  </si>
  <si>
    <t>VALBRENTA-EX CISMON DEL GRAPPA_ETRA_ENERGIA</t>
  </si>
  <si>
    <t>FOZA_ETRA_ENERGIA</t>
  </si>
  <si>
    <t>GALZIGNANO TERME_ETRA_ENERGIA</t>
  </si>
  <si>
    <t>MONTEGROTTO TERME_ETRA_ENERGIA</t>
  </si>
  <si>
    <t>ASIGLIANO VENETO_ETRA_ENERGIA</t>
  </si>
  <si>
    <t>PADOVA_ETRA_ENERGIA</t>
  </si>
  <si>
    <t>ABANO TERME_ETRA_ENERGIA</t>
  </si>
  <si>
    <t>TREBASELEGHE_ETRA_ENERGIA</t>
  </si>
  <si>
    <t>PIOMBINO DESE_ETRA_ENERGIA</t>
  </si>
  <si>
    <t>LOMBARDIA</t>
  </si>
  <si>
    <t>-</t>
  </si>
  <si>
    <t>mese</t>
  </si>
  <si>
    <t>Condizioni Economiche di Fornitura Clienti del Servizio di Tutela della Vulnerabilità</t>
  </si>
  <si>
    <t>(ai sensi della delibera 100/2023/R/com e s.m.i.)</t>
  </si>
  <si>
    <t>naturale ai clienti finali. Si aggiorna mensilmente ai sensi della delibera ARERA 100/2023/R/com e s.m.i.</t>
  </si>
  <si>
    <t>il gas naturale ai clienti finali. Si aggiorna periodicamente ai sensi delle delibere ARERA ARG/Gas 159/08 del 06/11/2008 e s.m.i. e 100/2023/R/com e s.m.i.</t>
  </si>
  <si>
    <t>Delibere AEEG
 - 
Comunicato stampa del</t>
  </si>
  <si>
    <t>ESTE_ETRA_ENERGIA</t>
  </si>
  <si>
    <t>comunicato da Eziotti</t>
  </si>
  <si>
    <t>entrata in vigore STV, non viene più aggiornato</t>
  </si>
  <si>
    <t>SANTA CATERINA D'ESTE</t>
  </si>
  <si>
    <t>SANTA CATERINA D'ESTE_ASM_SET</t>
  </si>
  <si>
    <t>non sono stati comunicati variazione di ReMi per il 2025 da Eziotti</t>
  </si>
  <si>
    <t>a parte il remi comunicato da Eziotti, credo che il controllo se ci sono remi variati non è stato fatto dalla struttura postvendita, intanto proseguo ugualmente</t>
  </si>
  <si>
    <t>CASTELFRANCO VENETO</t>
  </si>
  <si>
    <t>CASTELFRANCO VENETO_ETRA_ENERGIA</t>
  </si>
  <si>
    <t>RESANA</t>
  </si>
  <si>
    <t>RESANA_ETRA_ENERGIA</t>
  </si>
  <si>
    <t>MAX CCI</t>
  </si>
  <si>
    <t>Nel corso degli ultimi 12 mesi il valore massimo di tale componente con P=0,038520 GJ/Smc e C=1 applicato nel mese</t>
  </si>
  <si>
    <t>SARCEDO</t>
  </si>
  <si>
    <t>SARCEDO_ETRA_ENERGIA</t>
  </si>
  <si>
    <t>remi tollti in quanto non più presenti nell'exp clienti</t>
  </si>
  <si>
    <t>PCS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</si>
</sst>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_-&quot;L.&quot;\ * #,##0_-;\-&quot;L.&quot;\ * #,##0_-;_-&quot;L.&quot;\ * &quot;-&quot;_-;_-@_-"/>
    <numFmt numFmtId="167" formatCode="0.000000"/>
    <numFmt numFmtId="168" formatCode="0.0000"/>
    <numFmt numFmtId="169" formatCode="[$-410]d\-mmm\-yy;@"/>
    <numFmt numFmtId="170" formatCode="0.000"/>
    <numFmt numFmtId="171" formatCode="0.0000000"/>
    <numFmt numFmtId="172" formatCode="_-* #,##0.00000_-;\-* #,##0.00000_-;_-* &quot;-&quot;??_-;_-@_-"/>
    <numFmt numFmtId="173" formatCode="0.00000000"/>
    <numFmt numFmtId="174" formatCode="0.0"/>
    <numFmt numFmtId="175" formatCode="#,##0.000"/>
    <numFmt numFmtId="176" formatCode="#,##0.0000"/>
    <numFmt numFmtId="177" formatCode="#,##0.000000"/>
    <numFmt numFmtId="178" formatCode="0.0%"/>
    <numFmt numFmtId="179" formatCode="#,##0.00_ ;\-#,##0.00\ "/>
    <numFmt numFmtId="180" formatCode="_-[$€-2]\ * #,##0.00_-;\-[$€-2]\ * #,##0.00_-;_-[$€-2]\ * &quot;-&quot;??_-"/>
    <numFmt numFmtId="181" formatCode="#,##0;[Red]\(#,##0\)"/>
    <numFmt numFmtId="182" formatCode="#,##0.00;[Red]\(#,##0.00\)"/>
    <numFmt numFmtId="183" formatCode="_-* #,##0\ &quot;DM&quot;_-;\-* #,##0\ &quot;DM&quot;_-;_-* &quot;-&quot;\ &quot;DM&quot;_-;_-@_-"/>
    <numFmt numFmtId="184" formatCode="#,##0.0_x;&quot;NM&quot;_x"/>
    <numFmt numFmtId="185" formatCode="#,##0\x_);&quot;NM&quot;_)"/>
    <numFmt numFmtId="186" formatCode="#,##0.0;\(#,##0.0\)"/>
    <numFmt numFmtId="187" formatCode="#,##0.0_);[Red]\(#,##0.0\)"/>
    <numFmt numFmtId="188" formatCode="#,##0_);[Red]\(#,##0\);&quot;-&quot;_);@"/>
    <numFmt numFmtId="189" formatCode="0\¢"/>
    <numFmt numFmtId="190" formatCode="0.0\¢"/>
    <numFmt numFmtId="191" formatCode="&quot;CHF&quot;#,##0.0_);\(&quot;CHF&quot;#,##0.0\)"/>
    <numFmt numFmtId="192" formatCode="\+0.0;\-0.0"/>
    <numFmt numFmtId="193" formatCode=";;;"/>
    <numFmt numFmtId="194" formatCode="#,##0.00;\(#,##0.00\)"/>
    <numFmt numFmtId="195" formatCode="#,##0.000;[Red]\(#,##0.000\)"/>
    <numFmt numFmtId="196" formatCode="#,##0_%_);\(#,##0\)_%;#,##0_%_);@_%_)"/>
    <numFmt numFmtId="197" formatCode="#,##0_%_);\(#,##0\)_%;**;@_%_)"/>
    <numFmt numFmtId="198" formatCode="#,##0.00_%_);\(#,##0.00\)_%;#,##0.00_%_);@_%_)"/>
    <numFmt numFmtId="199" formatCode="_(&quot;$&quot;* #,##0_);_(&quot;$&quot;* \(#,##0\);_(&quot;$&quot;* &quot;-&quot;_);_(@_)"/>
    <numFmt numFmtId="200" formatCode="&quot;$&quot;#,##0_%_);\(&quot;$&quot;#,##0\)_%;&quot;$&quot;#,##0_%_);@_%_)"/>
    <numFmt numFmtId="201" formatCode="&quot;$&quot;#,##0.00_%_);\(&quot;$&quot;#,##0.00\)_%;&quot;$&quot;#,##0.00_%_);@_%_)"/>
    <numFmt numFmtId="202" formatCode="_(&quot;$&quot;* #,##0.00_);_(&quot;$&quot;* \(#,##0.00\);_(&quot;$&quot;* &quot;-&quot;??_);_(@_)"/>
    <numFmt numFmtId="203" formatCode="#,##0.0_);\(#,##0.0\)"/>
    <numFmt numFmtId="204" formatCode="0.000_);[Red]\(0.000\)"/>
    <numFmt numFmtId="205" formatCode="#,##0.???_);\(#,##0.???\)"/>
    <numFmt numFmtId="206" formatCode="m/d/yy_%_)"/>
    <numFmt numFmtId="207" formatCode="[Blue]\+_ #,##0_);[Magenta]\(#,##0\);\-_)"/>
    <numFmt numFmtId="208" formatCode="[Blue]\+_ #,##0.0_);[Magenta]\(#,##0.0\);\-_)"/>
    <numFmt numFmtId="209" formatCode="[Blue]\+_ #,##0.00_);[Magenta]\(#,##0.00\);\-_)"/>
    <numFmt numFmtId="210" formatCode="&quot;$&quot;#,##0_);\(&quot;$&quot;#,##0\)"/>
    <numFmt numFmtId="211" formatCode="0_%_);\(0\)_%;0_%_);@_%_)"/>
    <numFmt numFmtId="212" formatCode="yyyy/mm/dd\ "/>
    <numFmt numFmtId="213" formatCode="_*#,###;_*\(#,###\)"/>
    <numFmt numFmtId="214" formatCode="#\ ###"/>
    <numFmt numFmtId="215" formatCode="#,##0;\(#,##0\)"/>
    <numFmt numFmtId="216" formatCode="0.0\%_);\(0.0\%\);0.0\%_);@_%_)"/>
    <numFmt numFmtId="217" formatCode="0.00%;\(0.00%\)"/>
    <numFmt numFmtId="218" formatCode="[Blue]#,##0_);[Magenta]\(#,##0\)"/>
    <numFmt numFmtId="219" formatCode="[Blue]#,##0.0_);[Magenta]\(#,##0.0\)"/>
    <numFmt numFmtId="220" formatCode="[Blue]#,##0.00_);[Magenta]\(#,##0.00\)"/>
    <numFmt numFmtId="221" formatCode="[Blue]#,##0.000_);[Magenta]\(#,##0.000\);\-"/>
    <numFmt numFmtId="222" formatCode="[Blue]0.00%"/>
    <numFmt numFmtId="223" formatCode="0.0%;[Red]\(0.0%\)"/>
    <numFmt numFmtId="224" formatCode="[Blue]#,##0_);[Magenta]\(#,##0\);\-"/>
    <numFmt numFmtId="225" formatCode="[Blue]#,##0.0_);[Magenta]\(#,##0.0\);\-"/>
    <numFmt numFmtId="226" formatCode="General_)"/>
    <numFmt numFmtId="227" formatCode="_ * #,##0_ ;_ * \-#,##0_ ;_ * &quot;-&quot;_ ;_ @_ "/>
    <numFmt numFmtId="228" formatCode="0.0000_)"/>
    <numFmt numFmtId="229" formatCode="_-* #,##0.0_-;\-* #,##0.0_-;_-* &quot;-&quot;?_-;_-@_-"/>
    <numFmt numFmtId="230" formatCode="#,##0.00_);[Red]\(#,##0.00\)"/>
    <numFmt numFmtId="231" formatCode="#,##0.000_);[Red]\(#,##0.000\);\-"/>
    <numFmt numFmtId="232" formatCode="_-* #,##0\ _P_t_s_-;\-* #,##0\ _P_t_s_-;_-* &quot;-&quot;\ _P_t_s_-;_-@_-"/>
    <numFmt numFmtId="233" formatCode="_-* #,##0.00\ _P_t_s_-;\-* #,##0.00\ _P_t_s_-;_-* &quot;-&quot;??\ _P_t_s_-;_-@_-"/>
    <numFmt numFmtId="234" formatCode="_-* #,##0\ &quot;Pts&quot;_-;\-* #,##0\ &quot;Pts&quot;_-;_-* &quot;-&quot;\ &quot;Pts&quot;_-;_-@_-"/>
    <numFmt numFmtId="235" formatCode="_-* #,##0.00\ &quot;Pts&quot;_-;\-* #,##0.00\ &quot;Pts&quot;_-;_-* &quot;-&quot;??\ &quot;Pts&quot;_-;_-@_-"/>
    <numFmt numFmtId="236" formatCode="0.0\x_)_);&quot;NM&quot;_x_)_);0.0\x_)_);@_%_)"/>
    <numFmt numFmtId="237" formatCode="* #,##0_);* \(\ #,##0_);* \-"/>
    <numFmt numFmtId="238" formatCode="#,##0.0\x;\(#,##0.0\x\)"/>
    <numFmt numFmtId="239" formatCode="yyyy/mm/dd\ hh:mm"/>
    <numFmt numFmtId="240" formatCode="\p#,##0_);\(\p#,##0\)"/>
    <numFmt numFmtId="241" formatCode="0.0%_);\(0.0%\);0.0%_);@_%_)"/>
    <numFmt numFmtId="242" formatCode="0.0%;[Red]0.0%;\-"/>
    <numFmt numFmtId="243" formatCode="#,##0.000;\(#,##0.000\)"/>
    <numFmt numFmtId="244" formatCode="_(* &quot;$&quot;#,##0.0_);_(* &quot;$&quot;\(#,##0.0\);_(* &quot;$&quot;\ &quot;-&quot;_);_(@_)"/>
    <numFmt numFmtId="245" formatCode="\'@\'"/>
    <numFmt numFmtId="246" formatCode="\¥#,##0_);\(\¥#,##0\)"/>
    <numFmt numFmtId="247" formatCode="_-[$€]\ * #,##0.00_-;\-[$€]\ * #,##0.00_-;_-[$€]\ * &quot;-&quot;??_-;_-@_-"/>
    <numFmt numFmtId="248" formatCode="mmmm\ yyyy"/>
  </numFmts>
  <fonts count="161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Tahoma"/>
      <family val="2"/>
    </font>
    <font>
      <b/>
      <i/>
      <sz val="8"/>
      <color indexed="10"/>
      <name val="Arial"/>
      <family val="2"/>
    </font>
    <font>
      <sz val="8"/>
      <name val="Tahoma"/>
      <family val="2"/>
    </font>
    <font>
      <vertAlign val="subscript"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12"/>
      <color indexed="10"/>
      <name val="Calibri"/>
      <family val="2"/>
    </font>
    <font>
      <b/>
      <sz val="9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u/>
      <sz val="9"/>
      <color indexed="56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8"/>
      <color indexed="10"/>
      <name val="Arial"/>
      <family val="2"/>
    </font>
    <font>
      <sz val="8"/>
      <name val="Arial"/>
      <family val="2"/>
    </font>
    <font>
      <sz val="10"/>
      <name val="Courier New"/>
      <family val="3"/>
    </font>
    <font>
      <b/>
      <sz val="10"/>
      <name val="Arial"/>
      <family val="2"/>
    </font>
    <font>
      <b/>
      <sz val="10"/>
      <color indexed="10"/>
      <name val="Calibri"/>
      <family val="2"/>
    </font>
    <font>
      <b/>
      <vertAlign val="subscript"/>
      <sz val="8"/>
      <name val="Arial"/>
      <family val="2"/>
    </font>
    <font>
      <sz val="9"/>
      <color indexed="10"/>
      <name val="Calibri"/>
      <family val="2"/>
    </font>
    <font>
      <sz val="8"/>
      <name val="Times New Roman"/>
      <family val="1"/>
    </font>
    <font>
      <b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12"/>
      <name val="Arial"/>
      <family val="2"/>
    </font>
    <font>
      <b/>
      <sz val="10"/>
      <color indexed="9"/>
      <name val="Arial"/>
      <family val="2"/>
    </font>
    <font>
      <sz val="8"/>
      <name val="Palatino"/>
      <family val="1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sz val="18"/>
      <name val="Helvetica-Black"/>
    </font>
    <font>
      <i/>
      <sz val="14"/>
      <name val="Palatino"/>
      <family val="1"/>
    </font>
    <font>
      <sz val="7"/>
      <name val="Arial"/>
      <family val="2"/>
    </font>
    <font>
      <sz val="10"/>
      <name val="Courier"/>
      <family val="3"/>
    </font>
    <font>
      <sz val="10"/>
      <name val="Palatino"/>
      <family val="1"/>
    </font>
    <font>
      <sz val="10"/>
      <color indexed="16"/>
      <name val="Helvetica-Black"/>
    </font>
    <font>
      <sz val="9.5"/>
      <color indexed="23"/>
      <name val="Helvetica-Black"/>
    </font>
    <font>
      <b/>
      <sz val="8"/>
      <color indexed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9"/>
      <color indexed="9"/>
      <name val="Arial"/>
      <family val="2"/>
    </font>
    <font>
      <u/>
      <sz val="8"/>
      <color indexed="8"/>
      <name val="Arial"/>
      <family val="2"/>
    </font>
    <font>
      <b/>
      <i/>
      <sz val="8"/>
      <name val="Helv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2"/>
      <name val="Helv"/>
    </font>
    <font>
      <sz val="14"/>
      <name val="System"/>
      <family val="2"/>
    </font>
    <font>
      <sz val="10"/>
      <color indexed="9"/>
      <name val="Arial"/>
      <family val="2"/>
    </font>
    <font>
      <sz val="10"/>
      <name val="Garamond"/>
      <family val="1"/>
    </font>
    <font>
      <sz val="10"/>
      <color indexed="20"/>
      <name val="Arial"/>
      <family val="2"/>
    </font>
    <font>
      <sz val="10"/>
      <name val="Helv"/>
    </font>
    <font>
      <sz val="9"/>
      <name val="NewsGoth Lt BT"/>
      <family val="2"/>
    </font>
    <font>
      <b/>
      <sz val="12"/>
      <name val="Times New Roman"/>
      <family val="1"/>
    </font>
    <font>
      <sz val="10"/>
      <name val="Arial Narrow"/>
      <family val="2"/>
    </font>
    <font>
      <sz val="9"/>
      <name val="Arial"/>
      <family val="2"/>
    </font>
    <font>
      <b/>
      <sz val="10"/>
      <color indexed="52"/>
      <name val="Arial"/>
      <family val="2"/>
    </font>
    <font>
      <sz val="10.5"/>
      <name val="Times New Roman"/>
      <family val="1"/>
    </font>
    <font>
      <sz val="13"/>
      <name val="Tms Rmn"/>
    </font>
    <font>
      <sz val="12"/>
      <name val="Tms Rmn"/>
    </font>
    <font>
      <b/>
      <sz val="14"/>
      <color indexed="10"/>
      <name val="Times New Roman"/>
      <family val="1"/>
    </font>
    <font>
      <sz val="10"/>
      <name val="Tms Rmn"/>
    </font>
    <font>
      <b/>
      <sz val="12"/>
      <name val="Arial Narrow"/>
      <family val="2"/>
    </font>
    <font>
      <sz val="12"/>
      <color indexed="10"/>
      <name val="Times New Roman"/>
      <family val="1"/>
    </font>
    <font>
      <i/>
      <sz val="10"/>
      <color indexed="23"/>
      <name val="Arial"/>
      <family val="2"/>
    </font>
    <font>
      <u/>
      <sz val="7.5"/>
      <color indexed="36"/>
      <name val="Arial"/>
      <family val="2"/>
    </font>
    <font>
      <sz val="11"/>
      <name val="Arial"/>
      <family val="2"/>
    </font>
    <font>
      <sz val="10"/>
      <color indexed="17"/>
      <name val="MS Sans Serif"/>
      <family val="2"/>
    </font>
    <font>
      <u/>
      <sz val="10"/>
      <color indexed="20"/>
      <name val="Arial"/>
      <family val="2"/>
    </font>
    <font>
      <sz val="10"/>
      <color indexed="17"/>
      <name val="Arial"/>
      <family val="2"/>
    </font>
    <font>
      <sz val="8"/>
      <name val="Arial Narrow"/>
      <family val="2"/>
    </font>
    <font>
      <sz val="10"/>
      <name val="NewsGoth Lt BT"/>
      <family val="2"/>
    </font>
    <font>
      <b/>
      <sz val="15"/>
      <color indexed="56"/>
      <name val="Arial"/>
      <family val="2"/>
    </font>
    <font>
      <b/>
      <sz val="11"/>
      <color indexed="56"/>
      <name val="Arial"/>
      <family val="2"/>
    </font>
    <font>
      <b/>
      <u/>
      <sz val="8"/>
      <name val="Times New Roman"/>
      <family val="1"/>
    </font>
    <font>
      <b/>
      <sz val="9"/>
      <name val="NewsGoth Lt BT"/>
    </font>
    <font>
      <sz val="10"/>
      <color indexed="18"/>
      <name val="Palatino"/>
      <family val="1"/>
    </font>
    <font>
      <sz val="10"/>
      <color indexed="52"/>
      <name val="Arial"/>
      <family val="2"/>
    </font>
    <font>
      <b/>
      <i/>
      <sz val="10"/>
      <name val="Helv"/>
    </font>
    <font>
      <b/>
      <sz val="10"/>
      <name val="Helv"/>
    </font>
    <font>
      <sz val="10"/>
      <color indexed="60"/>
      <name val="Arial"/>
      <family val="2"/>
    </font>
    <font>
      <sz val="7"/>
      <name val="Small Fonts"/>
      <family val="2"/>
    </font>
    <font>
      <sz val="9"/>
      <name val="Arial Narrow"/>
      <family val="2"/>
    </font>
    <font>
      <sz val="9"/>
      <name val="Geneva"/>
    </font>
    <font>
      <b/>
      <sz val="14"/>
      <name val="Times New Roman"/>
      <family val="1"/>
    </font>
    <font>
      <b/>
      <sz val="8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b/>
      <i/>
      <sz val="12"/>
      <color indexed="9"/>
      <name val="Arial"/>
      <family val="2"/>
    </font>
    <font>
      <sz val="8"/>
      <name val="Helv"/>
    </font>
    <font>
      <b/>
      <i/>
      <u/>
      <sz val="10"/>
      <name val="Helv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2"/>
      <color indexed="12"/>
      <name val="Times New Roman"/>
      <family val="1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u/>
      <sz val="16"/>
      <name val="Arial"/>
      <family val="2"/>
    </font>
    <font>
      <b/>
      <i/>
      <u/>
      <sz val="14"/>
      <name val="Arial"/>
      <family val="2"/>
    </font>
    <font>
      <b/>
      <i/>
      <sz val="10"/>
      <name val="Times New Roman"/>
      <family val="1"/>
    </font>
    <font>
      <b/>
      <i/>
      <sz val="12"/>
      <name val="Times New Roman"/>
      <family val="1"/>
    </font>
    <font>
      <sz val="10.5"/>
      <color indexed="12"/>
      <name val="Times New Roman"/>
      <family val="1"/>
    </font>
    <font>
      <sz val="10"/>
      <name val="MS Sans Serif"/>
      <family val="2"/>
    </font>
    <font>
      <b/>
      <sz val="9"/>
      <name val="NewsGoth Lt BT"/>
      <family val="2"/>
    </font>
    <font>
      <sz val="10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rgb="FFFF0000"/>
      <name val="Arial"/>
      <family val="2"/>
    </font>
    <font>
      <u/>
      <sz val="9"/>
      <color theme="3" tint="-0.249977111117893"/>
      <name val="Calibri"/>
      <family val="2"/>
    </font>
    <font>
      <b/>
      <sz val="8"/>
      <color indexed="10"/>
      <name val="Tahoma"/>
      <family val="2"/>
    </font>
  </fonts>
  <fills count="6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</patternFill>
    </fill>
    <fill>
      <patternFill patternType="solid">
        <fgColor indexed="41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mediumGray">
        <fgColor indexed="10"/>
      </patternFill>
    </fill>
    <fill>
      <patternFill patternType="mediumGray">
        <fgColor indexed="10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indexed="22"/>
        <bgColor indexed="8"/>
      </patternFill>
    </fill>
    <fill>
      <patternFill patternType="lightUp">
        <fgColor indexed="63"/>
      </patternFill>
    </fill>
    <fill>
      <patternFill patternType="solid">
        <fgColor indexed="1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8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thick">
        <color indexed="1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10"/>
      </left>
      <right style="hair">
        <color indexed="10"/>
      </right>
      <top style="hair">
        <color indexed="10"/>
      </top>
      <bottom style="hair">
        <color indexed="1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hair">
        <color indexed="22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299">
    <xf numFmtId="0" fontId="0" fillId="0" borderId="0" applyNumberFormat="0" applyFont="0" applyFill="0" applyBorder="0" applyAlignment="0" applyProtection="0"/>
    <xf numFmtId="0" fontId="86" fillId="0" borderId="0"/>
    <xf numFmtId="0" fontId="54" fillId="0" borderId="0"/>
    <xf numFmtId="0" fontId="2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9" fillId="0" borderId="0"/>
    <xf numFmtId="0" fontId="52" fillId="0" borderId="0"/>
    <xf numFmtId="0" fontId="52" fillId="0" borderId="0"/>
    <xf numFmtId="0" fontId="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" fillId="0" borderId="0"/>
    <xf numFmtId="0" fontId="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52" fillId="0" borderId="0"/>
    <xf numFmtId="0" fontId="52" fillId="0" borderId="0"/>
    <xf numFmtId="0" fontId="9" fillId="0" borderId="0"/>
    <xf numFmtId="0" fontId="87" fillId="0" borderId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83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0" fontId="3" fillId="2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169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169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169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169" fontId="3" fillId="2" borderId="0" applyNumberFormat="0" applyBorder="0" applyAlignment="0" applyProtection="0"/>
    <xf numFmtId="0" fontId="3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169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52" fillId="4" borderId="0" applyNumberFormat="0" applyBorder="0" applyAlignment="0" applyProtection="0"/>
    <xf numFmtId="0" fontId="52" fillId="4" borderId="0" applyNumberFormat="0" applyBorder="0" applyAlignment="0" applyProtection="0"/>
    <xf numFmtId="169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169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169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169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169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169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169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9" fillId="0" borderId="0"/>
    <xf numFmtId="0" fontId="4" fillId="16" borderId="0" applyNumberFormat="0" applyBorder="0" applyAlignment="0" applyProtection="0"/>
    <xf numFmtId="0" fontId="88" fillId="17" borderId="0" applyNumberFormat="0" applyBorder="0" applyAlignment="0" applyProtection="0"/>
    <xf numFmtId="169" fontId="4" fillId="16" borderId="0" applyNumberFormat="0" applyBorder="0" applyAlignment="0" applyProtection="0"/>
    <xf numFmtId="0" fontId="4" fillId="10" borderId="0" applyNumberFormat="0" applyBorder="0" applyAlignment="0" applyProtection="0"/>
    <xf numFmtId="0" fontId="88" fillId="10" borderId="0" applyNumberFormat="0" applyBorder="0" applyAlignment="0" applyProtection="0"/>
    <xf numFmtId="169" fontId="4" fillId="10" borderId="0" applyNumberFormat="0" applyBorder="0" applyAlignment="0" applyProtection="0"/>
    <xf numFmtId="0" fontId="4" fillId="18" borderId="0" applyNumberFormat="0" applyBorder="0" applyAlignment="0" applyProtection="0"/>
    <xf numFmtId="0" fontId="88" fillId="14" borderId="0" applyNumberFormat="0" applyBorder="0" applyAlignment="0" applyProtection="0"/>
    <xf numFmtId="169" fontId="4" fillId="18" borderId="0" applyNumberFormat="0" applyBorder="0" applyAlignment="0" applyProtection="0"/>
    <xf numFmtId="0" fontId="4" fillId="11" borderId="0" applyNumberFormat="0" applyBorder="0" applyAlignment="0" applyProtection="0"/>
    <xf numFmtId="0" fontId="88" fillId="19" borderId="0" applyNumberFormat="0" applyBorder="0" applyAlignment="0" applyProtection="0"/>
    <xf numFmtId="169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88" fillId="16" borderId="0" applyNumberFormat="0" applyBorder="0" applyAlignment="0" applyProtection="0"/>
    <xf numFmtId="169" fontId="4" fillId="16" borderId="0" applyNumberFormat="0" applyBorder="0" applyAlignment="0" applyProtection="0"/>
    <xf numFmtId="0" fontId="4" fillId="4" borderId="0" applyNumberFormat="0" applyBorder="0" applyAlignment="0" applyProtection="0"/>
    <xf numFmtId="0" fontId="88" fillId="20" borderId="0" applyNumberFormat="0" applyBorder="0" applyAlignment="0" applyProtection="0"/>
    <xf numFmtId="169" fontId="4" fillId="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88" fillId="21" borderId="0" applyNumberFormat="0" applyBorder="0" applyAlignment="0" applyProtection="0"/>
    <xf numFmtId="169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88" fillId="22" borderId="0" applyNumberFormat="0" applyBorder="0" applyAlignment="0" applyProtection="0"/>
    <xf numFmtId="169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88" fillId="23" borderId="0" applyNumberFormat="0" applyBorder="0" applyAlignment="0" applyProtection="0"/>
    <xf numFmtId="169" fontId="4" fillId="18" borderId="0" applyNumberFormat="0" applyBorder="0" applyAlignment="0" applyProtection="0"/>
    <xf numFmtId="0" fontId="4" fillId="24" borderId="0" applyNumberFormat="0" applyBorder="0" applyAlignment="0" applyProtection="0"/>
    <xf numFmtId="0" fontId="88" fillId="19" borderId="0" applyNumberFormat="0" applyBorder="0" applyAlignment="0" applyProtection="0"/>
    <xf numFmtId="169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88" fillId="16" borderId="0" applyNumberFormat="0" applyBorder="0" applyAlignment="0" applyProtection="0"/>
    <xf numFmtId="169" fontId="4" fillId="16" borderId="0" applyNumberFormat="0" applyBorder="0" applyAlignment="0" applyProtection="0"/>
    <xf numFmtId="0" fontId="4" fillId="25" borderId="0" applyNumberFormat="0" applyBorder="0" applyAlignment="0" applyProtection="0"/>
    <xf numFmtId="0" fontId="88" fillId="25" borderId="0" applyNumberFormat="0" applyBorder="0" applyAlignment="0" applyProtection="0"/>
    <xf numFmtId="169" fontId="4" fillId="25" borderId="0" applyNumberFormat="0" applyBorder="0" applyAlignment="0" applyProtection="0"/>
    <xf numFmtId="0" fontId="23" fillId="26" borderId="0" applyNumberFormat="0" applyBorder="0" applyAlignment="0" applyProtection="0"/>
    <xf numFmtId="184" fontId="54" fillId="0" borderId="1"/>
    <xf numFmtId="185" fontId="54" fillId="0" borderId="2"/>
    <xf numFmtId="185" fontId="54" fillId="0" borderId="2"/>
    <xf numFmtId="185" fontId="54" fillId="0" borderId="2"/>
    <xf numFmtId="185" fontId="54" fillId="0" borderId="3" applyBorder="0"/>
    <xf numFmtId="185" fontId="54" fillId="0" borderId="3" applyBorder="0"/>
    <xf numFmtId="185" fontId="54" fillId="0" borderId="3" applyBorder="0"/>
    <xf numFmtId="0" fontId="88" fillId="27" borderId="4">
      <alignment horizontal="center" vertical="center"/>
    </xf>
    <xf numFmtId="186" fontId="89" fillId="0" borderId="0" applyFill="0" applyBorder="0" applyAlignment="0" applyProtection="0"/>
    <xf numFmtId="187" fontId="9" fillId="0" borderId="0">
      <protection locked="0"/>
    </xf>
    <xf numFmtId="0" fontId="9" fillId="28" borderId="5" applyBorder="0"/>
    <xf numFmtId="0" fontId="9" fillId="28" borderId="5" applyBorder="0"/>
    <xf numFmtId="0" fontId="20" fillId="5" borderId="0" applyNumberFormat="0" applyBorder="0" applyAlignment="0" applyProtection="0"/>
    <xf numFmtId="0" fontId="90" fillId="5" borderId="0" applyNumberFormat="0" applyBorder="0" applyAlignment="0" applyProtection="0"/>
    <xf numFmtId="169" fontId="20" fillId="5" borderId="0" applyNumberFormat="0" applyBorder="0" applyAlignment="0" applyProtection="0"/>
    <xf numFmtId="186" fontId="9" fillId="0" borderId="0" applyFont="0" applyFill="0" applyBorder="0" applyAlignment="0" applyProtection="0"/>
    <xf numFmtId="187" fontId="91" fillId="0" borderId="5" applyNumberFormat="0" applyFont="0" applyFill="0" applyBorder="0" applyAlignment="0"/>
    <xf numFmtId="187" fontId="91" fillId="0" borderId="5" applyNumberFormat="0" applyFont="0" applyFill="0" applyBorder="0" applyAlignment="0"/>
    <xf numFmtId="0" fontId="57" fillId="29" borderId="0">
      <alignment horizontal="center" vertical="center" wrapText="1"/>
    </xf>
    <xf numFmtId="4" fontId="92" fillId="0" borderId="6" applyNumberFormat="0" applyFill="0" applyAlignment="0" applyProtection="0"/>
    <xf numFmtId="4" fontId="92" fillId="0" borderId="0" applyNumberFormat="0" applyAlignment="0" applyProtection="0"/>
    <xf numFmtId="0" fontId="93" fillId="0" borderId="2" applyNumberFormat="0" applyFill="0" applyAlignment="0" applyProtection="0"/>
    <xf numFmtId="0" fontId="93" fillId="0" borderId="2" applyNumberFormat="0" applyFill="0" applyAlignment="0" applyProtection="0"/>
    <xf numFmtId="0" fontId="93" fillId="0" borderId="2" applyNumberFormat="0" applyFill="0" applyAlignment="0" applyProtection="0"/>
    <xf numFmtId="0" fontId="50" fillId="0" borderId="7" applyNumberFormat="0" applyFont="0" applyFill="0" applyAlignment="0" applyProtection="0"/>
    <xf numFmtId="169" fontId="50" fillId="0" borderId="7" applyNumberFormat="0" applyFont="0" applyFill="0" applyAlignment="0" applyProtection="0"/>
    <xf numFmtId="0" fontId="50" fillId="0" borderId="8" applyNumberFormat="0" applyFont="0" applyFill="0" applyAlignment="0" applyProtection="0"/>
    <xf numFmtId="169" fontId="50" fillId="0" borderId="8" applyNumberFormat="0" applyFont="0" applyFill="0" applyAlignment="0" applyProtection="0"/>
    <xf numFmtId="0" fontId="94" fillId="0" borderId="9"/>
    <xf numFmtId="174" fontId="9" fillId="0" borderId="0" applyFont="0" applyFill="0" applyBorder="0" applyAlignment="0" applyProtection="0"/>
    <xf numFmtId="188" fontId="95" fillId="0" borderId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68" fontId="9" fillId="0" borderId="0" applyFill="0" applyBorder="0" applyAlignment="0"/>
    <xf numFmtId="168" fontId="9" fillId="0" borderId="0" applyFill="0" applyBorder="0" applyAlignment="0"/>
    <xf numFmtId="168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0" fontId="5" fillId="11" borderId="10" applyNumberFormat="0" applyAlignment="0" applyProtection="0"/>
    <xf numFmtId="0" fontId="5" fillId="11" borderId="10" applyNumberFormat="0" applyAlignment="0" applyProtection="0"/>
    <xf numFmtId="0" fontId="5" fillId="2" borderId="10" applyNumberFormat="0" applyAlignment="0" applyProtection="0"/>
    <xf numFmtId="0" fontId="5" fillId="2" borderId="10" applyNumberFormat="0" applyAlignment="0" applyProtection="0"/>
    <xf numFmtId="0" fontId="96" fillId="11" borderId="10" applyNumberFormat="0" applyAlignment="0" applyProtection="0"/>
    <xf numFmtId="169" fontId="5" fillId="2" borderId="10" applyNumberFormat="0" applyAlignment="0" applyProtection="0"/>
    <xf numFmtId="0" fontId="6" fillId="0" borderId="11" applyNumberFormat="0" applyFill="0" applyAlignment="0" applyProtection="0"/>
    <xf numFmtId="0" fontId="6" fillId="0" borderId="11" applyNumberFormat="0" applyFill="0" applyAlignment="0" applyProtection="0"/>
    <xf numFmtId="0" fontId="7" fillId="30" borderId="12" applyNumberFormat="0" applyAlignment="0" applyProtection="0"/>
    <xf numFmtId="0" fontId="7" fillId="30" borderId="12" applyNumberFormat="0" applyAlignment="0" applyProtection="0"/>
    <xf numFmtId="41" fontId="54" fillId="0" borderId="13" applyProtection="0">
      <alignment horizontal="left"/>
    </xf>
    <xf numFmtId="189" fontId="22" fillId="0" borderId="0" applyFont="0" applyFill="0" applyBorder="0" applyAlignment="0" applyProtection="0"/>
    <xf numFmtId="19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7" fillId="30" borderId="12" applyNumberFormat="0" applyAlignment="0" applyProtection="0"/>
    <xf numFmtId="0" fontId="57" fillId="30" borderId="12" applyNumberFormat="0" applyAlignment="0" applyProtection="0"/>
    <xf numFmtId="169" fontId="7" fillId="30" borderId="12" applyNumberFormat="0" applyAlignment="0" applyProtection="0"/>
    <xf numFmtId="191" fontId="97" fillId="0" borderId="5" applyFont="0" applyFill="0" applyBorder="0" applyAlignment="0" applyProtection="0">
      <alignment horizontal="right"/>
    </xf>
    <xf numFmtId="191" fontId="97" fillId="0" borderId="5" applyFont="0" applyFill="0" applyBorder="0" applyAlignment="0" applyProtection="0">
      <alignment horizontal="right"/>
    </xf>
    <xf numFmtId="178" fontId="22" fillId="0" borderId="0" applyNumberFormat="0" applyFill="0" applyBorder="0" applyProtection="0">
      <alignment horizontal="center" wrapText="1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192" fontId="9" fillId="0" borderId="0"/>
    <xf numFmtId="192" fontId="9" fillId="0" borderId="0"/>
    <xf numFmtId="192" fontId="9" fillId="0" borderId="0"/>
    <xf numFmtId="192" fontId="9" fillId="0" borderId="0"/>
    <xf numFmtId="192" fontId="9" fillId="0" borderId="0"/>
    <xf numFmtId="192" fontId="9" fillId="0" borderId="0"/>
    <xf numFmtId="192" fontId="9" fillId="0" borderId="0"/>
    <xf numFmtId="192" fontId="9" fillId="0" borderId="0"/>
    <xf numFmtId="193" fontId="54" fillId="0" borderId="0"/>
    <xf numFmtId="4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86" fontId="98" fillId="0" borderId="0" applyFont="0" applyFill="0" applyBorder="0" applyAlignment="0" applyProtection="0"/>
    <xf numFmtId="194" fontId="98" fillId="0" borderId="0" applyFont="0" applyFill="0" applyBorder="0" applyAlignment="0" applyProtection="0"/>
    <xf numFmtId="195" fontId="99" fillId="0" borderId="0" applyFont="0" applyFill="0" applyBorder="0" applyAlignment="0" applyProtection="0"/>
    <xf numFmtId="0" fontId="58" fillId="0" borderId="0" applyFont="0" applyFill="0" applyBorder="0" applyAlignment="0" applyProtection="0">
      <alignment horizontal="right"/>
    </xf>
    <xf numFmtId="196" fontId="58" fillId="0" borderId="0" applyFont="0" applyFill="0" applyBorder="0" applyAlignment="0" applyProtection="0">
      <alignment horizontal="right"/>
    </xf>
    <xf numFmtId="169" fontId="58" fillId="0" borderId="0" applyFont="0" applyFill="0" applyBorder="0" applyAlignment="0" applyProtection="0">
      <alignment horizontal="right"/>
    </xf>
    <xf numFmtId="0" fontId="58" fillId="0" borderId="0" applyFont="0" applyFill="0" applyBorder="0" applyAlignment="0" applyProtection="0"/>
    <xf numFmtId="197" fontId="58" fillId="0" borderId="0" applyFont="0" applyFill="0" applyBorder="0" applyAlignment="0" applyProtection="0"/>
    <xf numFmtId="169" fontId="58" fillId="0" borderId="0" applyFont="0" applyFill="0" applyBorder="0" applyAlignment="0" applyProtection="0"/>
    <xf numFmtId="0" fontId="58" fillId="0" borderId="0" applyFont="0" applyFill="0" applyBorder="0" applyAlignment="0" applyProtection="0">
      <alignment horizontal="right"/>
    </xf>
    <xf numFmtId="198" fontId="58" fillId="0" borderId="0" applyFont="0" applyFill="0" applyBorder="0" applyAlignment="0" applyProtection="0">
      <alignment horizontal="right"/>
    </xf>
    <xf numFmtId="169" fontId="58" fillId="0" borderId="0" applyFont="0" applyFill="0" applyBorder="0" applyAlignment="0" applyProtection="0">
      <alignment horizontal="right"/>
    </xf>
    <xf numFmtId="43" fontId="9" fillId="0" borderId="0" applyFont="0" applyFill="0" applyBorder="0" applyAlignment="0" applyProtection="0"/>
    <xf numFmtId="49" fontId="46" fillId="31" borderId="0"/>
    <xf numFmtId="199" fontId="22" fillId="0" borderId="0" applyFont="0" applyFill="0" applyBorder="0" applyAlignment="0" applyProtection="0"/>
    <xf numFmtId="176" fontId="9" fillId="0" borderId="14"/>
    <xf numFmtId="176" fontId="9" fillId="0" borderId="14"/>
    <xf numFmtId="176" fontId="9" fillId="0" borderId="14"/>
    <xf numFmtId="19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58" fillId="0" borderId="0" applyFont="0" applyFill="0" applyBorder="0" applyAlignment="0" applyProtection="0">
      <alignment horizontal="right"/>
    </xf>
    <xf numFmtId="200" fontId="58" fillId="0" borderId="0" applyFont="0" applyFill="0" applyBorder="0" applyAlignment="0" applyProtection="0">
      <alignment horizontal="right"/>
    </xf>
    <xf numFmtId="169" fontId="58" fillId="0" borderId="0" applyFont="0" applyFill="0" applyBorder="0" applyAlignment="0" applyProtection="0">
      <alignment horizontal="right"/>
    </xf>
    <xf numFmtId="0" fontId="58" fillId="0" borderId="0" applyFont="0" applyFill="0" applyBorder="0" applyAlignment="0" applyProtection="0">
      <alignment horizontal="right"/>
    </xf>
    <xf numFmtId="201" fontId="58" fillId="0" borderId="0" applyFont="0" applyFill="0" applyBorder="0" applyAlignment="0" applyProtection="0">
      <alignment horizontal="right"/>
    </xf>
    <xf numFmtId="169" fontId="58" fillId="0" borderId="0" applyFont="0" applyFill="0" applyBorder="0" applyAlignment="0" applyProtection="0">
      <alignment horizontal="right"/>
    </xf>
    <xf numFmtId="202" fontId="9" fillId="0" borderId="0" applyFont="0" applyFill="0" applyBorder="0" applyAlignment="0" applyProtection="0"/>
    <xf numFmtId="0" fontId="46" fillId="31" borderId="15">
      <alignment horizontal="center"/>
    </xf>
    <xf numFmtId="0" fontId="22" fillId="31" borderId="16">
      <alignment horizontal="center" vertical="top"/>
    </xf>
    <xf numFmtId="203" fontId="100" fillId="0" borderId="0"/>
    <xf numFmtId="204" fontId="9" fillId="0" borderId="0" applyFont="0" applyFill="0" applyBorder="0" applyAlignment="0" applyProtection="0"/>
    <xf numFmtId="38" fontId="59" fillId="32" borderId="17">
      <protection locked="0"/>
    </xf>
    <xf numFmtId="205" fontId="9" fillId="2" borderId="18">
      <alignment horizontal="right"/>
    </xf>
    <xf numFmtId="14" fontId="101" fillId="0" borderId="0">
      <alignment horizontal="right"/>
    </xf>
    <xf numFmtId="0" fontId="58" fillId="0" borderId="0" applyFont="0" applyFill="0" applyBorder="0" applyAlignment="0" applyProtection="0"/>
    <xf numFmtId="206" fontId="58" fillId="0" borderId="0" applyFont="0" applyFill="0" applyBorder="0" applyAlignment="0" applyProtection="0"/>
    <xf numFmtId="169" fontId="58" fillId="0" borderId="0" applyFont="0" applyFill="0" applyBorder="0" applyAlignment="0" applyProtection="0"/>
    <xf numFmtId="14" fontId="52" fillId="0" borderId="0" applyFill="0" applyBorder="0" applyAlignment="0"/>
    <xf numFmtId="0" fontId="102" fillId="33" borderId="0" applyNumberFormat="0" applyFont="0" applyFill="0" applyBorder="0" applyAlignment="0"/>
    <xf numFmtId="0" fontId="94" fillId="0" borderId="0" applyNumberFormat="0" applyFont="0" applyFill="0" applyAlignment="0"/>
    <xf numFmtId="20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" fontId="60" fillId="34" borderId="0">
      <alignment horizontal="left"/>
      <protection hidden="1"/>
    </xf>
    <xf numFmtId="0" fontId="9" fillId="0" borderId="0" applyFont="0" applyFill="0" applyBorder="0" applyAlignment="0" applyProtection="0"/>
    <xf numFmtId="43" fontId="59" fillId="0" borderId="0" applyFont="0" applyFill="0" applyBorder="0" applyAlignment="0" applyProtection="0"/>
    <xf numFmtId="210" fontId="103" fillId="0" borderId="0" applyFont="0" applyFill="0" applyBorder="0" applyAlignment="0" applyProtection="0"/>
    <xf numFmtId="0" fontId="58" fillId="0" borderId="19" applyNumberFormat="0" applyFont="0" applyFill="0" applyAlignment="0" applyProtection="0"/>
    <xf numFmtId="211" fontId="58" fillId="0" borderId="19" applyNumberFormat="0" applyFont="0" applyFill="0" applyAlignment="0" applyProtection="0"/>
    <xf numFmtId="169" fontId="58" fillId="0" borderId="19" applyNumberFormat="0" applyFont="0" applyFill="0" applyAlignment="0" applyProtection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0" fontId="9" fillId="35" borderId="0"/>
    <xf numFmtId="0" fontId="46" fillId="36" borderId="15">
      <alignment horizontal="center"/>
    </xf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247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169" fontId="14" fillId="0" borderId="0" applyNumberFormat="0" applyFill="0" applyBorder="0" applyAlignment="0" applyProtection="0"/>
    <xf numFmtId="212" fontId="22" fillId="0" borderId="0"/>
    <xf numFmtId="212" fontId="22" fillId="0" borderId="0"/>
    <xf numFmtId="212" fontId="22" fillId="0" borderId="0"/>
    <xf numFmtId="212" fontId="22" fillId="0" borderId="0"/>
    <xf numFmtId="212" fontId="22" fillId="0" borderId="0"/>
    <xf numFmtId="212" fontId="22" fillId="0" borderId="0"/>
    <xf numFmtId="212" fontId="22" fillId="0" borderId="0"/>
    <xf numFmtId="212" fontId="22" fillId="0" borderId="0"/>
    <xf numFmtId="212" fontId="22" fillId="0" borderId="0"/>
    <xf numFmtId="212" fontId="22" fillId="0" borderId="0"/>
    <xf numFmtId="212" fontId="22" fillId="0" borderId="0"/>
    <xf numFmtId="212" fontId="22" fillId="0" borderId="0"/>
    <xf numFmtId="212" fontId="22" fillId="0" borderId="0"/>
    <xf numFmtId="212" fontId="22" fillId="0" borderId="0"/>
    <xf numFmtId="212" fontId="22" fillId="0" borderId="0"/>
    <xf numFmtId="212" fontId="22" fillId="0" borderId="0"/>
    <xf numFmtId="212" fontId="22" fillId="0" borderId="0"/>
    <xf numFmtId="22" fontId="9" fillId="0" borderId="0"/>
    <xf numFmtId="22" fontId="9" fillId="0" borderId="0"/>
    <xf numFmtId="22" fontId="9" fillId="0" borderId="0"/>
    <xf numFmtId="22" fontId="9" fillId="0" borderId="0"/>
    <xf numFmtId="22" fontId="9" fillId="0" borderId="0"/>
    <xf numFmtId="22" fontId="9" fillId="0" borderId="0"/>
    <xf numFmtId="22" fontId="9" fillId="0" borderId="0"/>
    <xf numFmtId="22" fontId="9" fillId="0" borderId="0"/>
    <xf numFmtId="22" fontId="9" fillId="0" borderId="0"/>
    <xf numFmtId="22" fontId="9" fillId="0" borderId="0"/>
    <xf numFmtId="22" fontId="9" fillId="0" borderId="0"/>
    <xf numFmtId="22" fontId="9" fillId="0" borderId="0"/>
    <xf numFmtId="22" fontId="9" fillId="0" borderId="0"/>
    <xf numFmtId="22" fontId="9" fillId="0" borderId="0"/>
    <xf numFmtId="22" fontId="9" fillId="0" borderId="0"/>
    <xf numFmtId="22" fontId="9" fillId="0" borderId="0"/>
    <xf numFmtId="22" fontId="9" fillId="0" borderId="0"/>
    <xf numFmtId="20" fontId="9" fillId="0" borderId="0"/>
    <xf numFmtId="20" fontId="9" fillId="0" borderId="0"/>
    <xf numFmtId="20" fontId="9" fillId="0" borderId="0"/>
    <xf numFmtId="20" fontId="9" fillId="0" borderId="0"/>
    <xf numFmtId="20" fontId="9" fillId="0" borderId="0"/>
    <xf numFmtId="20" fontId="9" fillId="0" borderId="0"/>
    <xf numFmtId="20" fontId="9" fillId="0" borderId="0"/>
    <xf numFmtId="20" fontId="9" fillId="0" borderId="0"/>
    <xf numFmtId="20" fontId="9" fillId="0" borderId="0"/>
    <xf numFmtId="20" fontId="9" fillId="0" borderId="0"/>
    <xf numFmtId="20" fontId="9" fillId="0" borderId="0"/>
    <xf numFmtId="20" fontId="9" fillId="0" borderId="0"/>
    <xf numFmtId="20" fontId="9" fillId="0" borderId="0"/>
    <xf numFmtId="20" fontId="9" fillId="0" borderId="0"/>
    <xf numFmtId="20" fontId="9" fillId="0" borderId="0"/>
    <xf numFmtId="20" fontId="9" fillId="0" borderId="0"/>
    <xf numFmtId="20" fontId="9" fillId="0" borderId="0"/>
    <xf numFmtId="0" fontId="105" fillId="0" borderId="0" applyNumberFormat="0" applyFill="0" applyBorder="0" applyAlignment="0" applyProtection="0">
      <alignment vertical="top"/>
      <protection locked="0"/>
    </xf>
    <xf numFmtId="0" fontId="61" fillId="0" borderId="0" applyFill="0" applyBorder="0" applyProtection="0">
      <alignment horizontal="left"/>
    </xf>
    <xf numFmtId="0" fontId="61" fillId="0" borderId="0" applyFill="0" applyBorder="0" applyProtection="0">
      <alignment horizontal="left"/>
    </xf>
    <xf numFmtId="169" fontId="61" fillId="0" borderId="0" applyFill="0" applyBorder="0" applyProtection="0">
      <alignment horizontal="left"/>
    </xf>
    <xf numFmtId="213" fontId="106" fillId="0" borderId="14" applyBorder="0">
      <alignment horizontal="center" vertical="center" wrapText="1"/>
    </xf>
    <xf numFmtId="214" fontId="107" fillId="0" borderId="20" applyFont="0" applyBorder="0"/>
    <xf numFmtId="0" fontId="108" fillId="0" borderId="0" applyNumberFormat="0" applyFill="0" applyBorder="0" applyAlignment="0" applyProtection="0">
      <alignment vertical="top"/>
      <protection locked="0"/>
    </xf>
    <xf numFmtId="0" fontId="85" fillId="37" borderId="21">
      <alignment horizontal="center" vertical="center" wrapText="1"/>
    </xf>
    <xf numFmtId="0" fontId="21" fillId="7" borderId="0" applyNumberFormat="0" applyBorder="0" applyAlignment="0" applyProtection="0"/>
    <xf numFmtId="0" fontId="109" fillId="7" borderId="0" applyNumberFormat="0" applyBorder="0" applyAlignment="0" applyProtection="0"/>
    <xf numFmtId="169" fontId="21" fillId="7" borderId="0" applyNumberFormat="0" applyBorder="0" applyAlignment="0" applyProtection="0"/>
    <xf numFmtId="38" fontId="22" fillId="38" borderId="0" applyNumberFormat="0" applyBorder="0" applyAlignment="0" applyProtection="0"/>
    <xf numFmtId="38" fontId="22" fillId="38" borderId="0" applyNumberFormat="0" applyBorder="0" applyAlignment="0" applyProtection="0"/>
    <xf numFmtId="38" fontId="22" fillId="38" borderId="0" applyNumberFormat="0" applyBorder="0" applyAlignment="0" applyProtection="0"/>
    <xf numFmtId="38" fontId="22" fillId="38" borderId="0" applyNumberFormat="0" applyBorder="0" applyAlignment="0" applyProtection="0"/>
    <xf numFmtId="0" fontId="85" fillId="38" borderId="0">
      <alignment horizontal="center"/>
    </xf>
    <xf numFmtId="215" fontId="110" fillId="0" borderId="0" applyFont="0" applyFill="0" applyBorder="0" applyAlignment="0" applyProtection="0"/>
    <xf numFmtId="0" fontId="58" fillId="0" borderId="0" applyFont="0" applyFill="0" applyBorder="0" applyAlignment="0" applyProtection="0">
      <alignment horizontal="right"/>
    </xf>
    <xf numFmtId="216" fontId="58" fillId="0" borderId="0" applyFont="0" applyFill="0" applyBorder="0" applyAlignment="0" applyProtection="0">
      <alignment horizontal="right"/>
    </xf>
    <xf numFmtId="169" fontId="58" fillId="0" borderId="0" applyFont="0" applyFill="0" applyBorder="0" applyAlignment="0" applyProtection="0">
      <alignment horizontal="right"/>
    </xf>
    <xf numFmtId="0" fontId="62" fillId="0" borderId="0" applyProtection="0">
      <alignment horizontal="right"/>
    </xf>
    <xf numFmtId="0" fontId="62" fillId="0" borderId="0" applyProtection="0">
      <alignment horizontal="right"/>
    </xf>
    <xf numFmtId="169" fontId="62" fillId="0" borderId="0" applyProtection="0">
      <alignment horizontal="right"/>
    </xf>
    <xf numFmtId="0" fontId="111" fillId="39" borderId="2">
      <alignment vertical="top" wrapText="1"/>
    </xf>
    <xf numFmtId="0" fontId="111" fillId="39" borderId="2">
      <alignment vertical="top" wrapText="1"/>
    </xf>
    <xf numFmtId="0" fontId="111" fillId="39" borderId="2">
      <alignment vertical="top" wrapText="1"/>
    </xf>
    <xf numFmtId="0" fontId="63" fillId="0" borderId="22" applyNumberFormat="0" applyAlignment="0" applyProtection="0">
      <alignment horizontal="left" vertical="center"/>
    </xf>
    <xf numFmtId="0" fontId="63" fillId="0" borderId="22" applyNumberFormat="0" applyAlignment="0" applyProtection="0">
      <alignment horizontal="left" vertical="center"/>
    </xf>
    <xf numFmtId="169" fontId="63" fillId="0" borderId="22" applyNumberFormat="0" applyAlignment="0" applyProtection="0">
      <alignment horizontal="left" vertical="center"/>
    </xf>
    <xf numFmtId="0" fontId="63" fillId="0" borderId="23">
      <alignment horizontal="left" vertical="center"/>
    </xf>
    <xf numFmtId="0" fontId="63" fillId="0" borderId="23">
      <alignment horizontal="left" vertical="center"/>
    </xf>
    <xf numFmtId="169" fontId="63" fillId="0" borderId="23">
      <alignment horizontal="left" vertical="center"/>
    </xf>
    <xf numFmtId="0" fontId="80" fillId="0" borderId="24" applyNumberFormat="0" applyFill="0" applyAlignment="0" applyProtection="0"/>
    <xf numFmtId="0" fontId="112" fillId="0" borderId="25" applyNumberFormat="0" applyFill="0" applyAlignment="0" applyProtection="0"/>
    <xf numFmtId="169" fontId="80" fillId="0" borderId="24" applyNumberFormat="0" applyFill="0" applyAlignment="0" applyProtection="0"/>
    <xf numFmtId="0" fontId="64" fillId="0" borderId="0" applyProtection="0">
      <alignment horizontal="left"/>
    </xf>
    <xf numFmtId="0" fontId="64" fillId="0" borderId="0" applyProtection="0">
      <alignment horizontal="left"/>
    </xf>
    <xf numFmtId="169" fontId="64" fillId="0" borderId="0" applyProtection="0">
      <alignment horizontal="left"/>
    </xf>
    <xf numFmtId="0" fontId="65" fillId="0" borderId="0" applyProtection="0">
      <alignment horizontal="left"/>
    </xf>
    <xf numFmtId="0" fontId="65" fillId="0" borderId="0" applyProtection="0">
      <alignment horizontal="left"/>
    </xf>
    <xf numFmtId="169" fontId="65" fillId="0" borderId="0" applyProtection="0">
      <alignment horizontal="left"/>
    </xf>
    <xf numFmtId="0" fontId="81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69" fontId="81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"/>
    </xf>
    <xf numFmtId="0" fontId="114" fillId="0" borderId="0" applyNumberFormat="0" applyFill="0" applyBorder="0" applyAlignment="0" applyProtection="0">
      <alignment horizontal="center"/>
    </xf>
    <xf numFmtId="0" fontId="115" fillId="38" borderId="2" applyNumberFormat="0">
      <alignment horizontal="left" vertical="top" wrapText="1"/>
    </xf>
    <xf numFmtId="0" fontId="115" fillId="38" borderId="2" applyNumberFormat="0">
      <alignment horizontal="left" vertical="top" wrapText="1"/>
    </xf>
    <xf numFmtId="0" fontId="115" fillId="38" borderId="2" applyNumberFormat="0">
      <alignment horizontal="left" vertical="top" wrapText="1"/>
    </xf>
    <xf numFmtId="0" fontId="153" fillId="38" borderId="2" applyNumberFormat="0">
      <alignment horizontal="left" vertical="top" wrapText="1"/>
    </xf>
    <xf numFmtId="0" fontId="153" fillId="38" borderId="2" applyNumberFormat="0">
      <alignment horizontal="left" vertical="top" wrapText="1"/>
    </xf>
    <xf numFmtId="0" fontId="153" fillId="38" borderId="2" applyNumberFormat="0">
      <alignment horizontal="left" vertical="top" wrapText="1"/>
    </xf>
    <xf numFmtId="0" fontId="8" fillId="0" borderId="0" applyNumberFormat="0" applyFill="0" applyBorder="0" applyAlignment="0" applyProtection="0">
      <alignment vertical="top"/>
      <protection locked="0"/>
    </xf>
    <xf numFmtId="181" fontId="66" fillId="0" borderId="0" applyBorder="0" applyAlignment="0"/>
    <xf numFmtId="0" fontId="10" fillId="4" borderId="10" applyNumberFormat="0" applyAlignment="0" applyProtection="0"/>
    <xf numFmtId="217" fontId="116" fillId="0" borderId="0"/>
    <xf numFmtId="186" fontId="116" fillId="0" borderId="0"/>
    <xf numFmtId="218" fontId="9" fillId="0" borderId="0" applyFont="0" applyFill="0" applyBorder="0" applyAlignment="0" applyProtection="0"/>
    <xf numFmtId="219" fontId="9" fillId="0" borderId="0" applyFont="0" applyFill="0" applyBorder="0" applyAlignment="0" applyProtection="0"/>
    <xf numFmtId="220" fontId="9" fillId="0" borderId="0" applyFont="0" applyFill="0" applyBorder="0" applyAlignment="0" applyProtection="0"/>
    <xf numFmtId="220" fontId="9" fillId="0" borderId="0" applyFont="0" applyFill="0" applyBorder="0" applyAlignment="0" applyProtection="0"/>
    <xf numFmtId="220" fontId="9" fillId="0" borderId="0" applyFont="0" applyFill="0" applyBorder="0" applyAlignment="0" applyProtection="0"/>
    <xf numFmtId="221" fontId="9" fillId="0" borderId="0" applyFont="0" applyFill="0" applyBorder="0" applyAlignment="0" applyProtection="0"/>
    <xf numFmtId="194" fontId="116" fillId="0" borderId="0"/>
    <xf numFmtId="10" fontId="22" fillId="40" borderId="14" applyNumberFormat="0" applyBorder="0" applyAlignment="0" applyProtection="0"/>
    <xf numFmtId="10" fontId="22" fillId="40" borderId="14" applyNumberFormat="0" applyBorder="0" applyAlignment="0" applyProtection="0"/>
    <xf numFmtId="10" fontId="22" fillId="40" borderId="14" applyNumberFormat="0" applyBorder="0" applyAlignment="0" applyProtection="0"/>
    <xf numFmtId="10" fontId="22" fillId="40" borderId="14" applyNumberFormat="0" applyBorder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0" fontId="10" fillId="4" borderId="10" applyNumberFormat="0" applyAlignment="0" applyProtection="0"/>
    <xf numFmtId="187" fontId="22" fillId="40" borderId="0">
      <protection locked="0"/>
    </xf>
    <xf numFmtId="222" fontId="9" fillId="0" borderId="0"/>
    <xf numFmtId="223" fontId="22" fillId="40" borderId="0" applyFont="0" applyBorder="0" applyAlignment="0">
      <protection locked="0"/>
    </xf>
    <xf numFmtId="224" fontId="9" fillId="0" borderId="0" applyFont="0" applyFill="0" applyBorder="0" applyAlignment="0" applyProtection="0">
      <alignment vertical="center"/>
      <protection locked="0"/>
    </xf>
    <xf numFmtId="225" fontId="9" fillId="0" borderId="0" applyFont="0" applyFill="0" applyBorder="0" applyAlignment="0" applyProtection="0"/>
    <xf numFmtId="221" fontId="9" fillId="0" borderId="0" applyFont="0" applyFill="0" applyBorder="0" applyAlignment="0" applyProtection="0">
      <alignment vertical="center"/>
      <protection locked="0"/>
    </xf>
    <xf numFmtId="178" fontId="9" fillId="0" borderId="14" applyNumberFormat="0">
      <alignment horizontal="left" wrapText="1"/>
      <protection locked="0"/>
    </xf>
    <xf numFmtId="226" fontId="67" fillId="0" borderId="0"/>
    <xf numFmtId="227" fontId="9" fillId="37" borderId="0" applyFont="0" applyFill="0" applyBorder="0" applyAlignment="0" applyProtection="0"/>
    <xf numFmtId="0" fontId="9" fillId="40" borderId="14" applyNumberFormat="0" applyProtection="0">
      <alignment vertical="center" wrapText="1"/>
    </xf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171" fontId="9" fillId="0" borderId="0" applyFill="0" applyBorder="0" applyAlignment="0"/>
    <xf numFmtId="0" fontId="6" fillId="0" borderId="11" applyNumberFormat="0" applyFill="0" applyAlignment="0" applyProtection="0"/>
    <xf numFmtId="0" fontId="117" fillId="0" borderId="11" applyNumberFormat="0" applyFill="0" applyAlignment="0" applyProtection="0"/>
    <xf numFmtId="169" fontId="6" fillId="0" borderId="11" applyNumberFormat="0" applyFill="0" applyAlignment="0" applyProtection="0"/>
    <xf numFmtId="0" fontId="9" fillId="41" borderId="0" applyAlignment="0">
      <alignment horizontal="left"/>
    </xf>
    <xf numFmtId="169" fontId="9" fillId="41" borderId="0" applyAlignment="0">
      <alignment horizontal="left"/>
    </xf>
    <xf numFmtId="0" fontId="9" fillId="41" borderId="0" applyAlignment="0">
      <alignment horizontal="left"/>
    </xf>
    <xf numFmtId="0" fontId="9" fillId="41" borderId="0" applyAlignment="0">
      <alignment horizontal="left"/>
    </xf>
    <xf numFmtId="228" fontId="118" fillId="0" borderId="0"/>
    <xf numFmtId="43" fontId="1" fillId="0" borderId="0" applyFont="0" applyFill="0" applyBorder="0" applyAlignment="0" applyProtection="0"/>
    <xf numFmtId="229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230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231" fontId="9" fillId="0" borderId="0" applyFont="0" applyFill="0" applyBorder="0" applyAlignment="0" applyProtection="0">
      <alignment vertical="center"/>
      <protection locked="0"/>
    </xf>
    <xf numFmtId="23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" fontId="119" fillId="0" borderId="2"/>
    <xf numFmtId="4" fontId="119" fillId="0" borderId="2"/>
    <xf numFmtId="4" fontId="119" fillId="0" borderId="2"/>
    <xf numFmtId="43" fontId="9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5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9" fillId="0" borderId="26" applyFont="0" applyFill="0" applyBorder="0" applyAlignment="0" applyProtection="0"/>
    <xf numFmtId="0" fontId="54" fillId="0" borderId="0"/>
    <xf numFmtId="232" fontId="9" fillId="0" borderId="0" applyFont="0" applyFill="0" applyBorder="0" applyAlignment="0" applyProtection="0"/>
    <xf numFmtId="23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234" fontId="9" fillId="0" borderId="0" applyFont="0" applyFill="0" applyBorder="0" applyAlignment="0" applyProtection="0"/>
    <xf numFmtId="235" fontId="9" fillId="0" borderId="0" applyFont="0" applyFill="0" applyBorder="0" applyAlignment="0" applyProtection="0"/>
    <xf numFmtId="0" fontId="58" fillId="0" borderId="0" applyFont="0" applyFill="0" applyBorder="0" applyAlignment="0" applyProtection="0">
      <alignment horizontal="right"/>
    </xf>
    <xf numFmtId="236" fontId="58" fillId="0" borderId="0" applyFont="0" applyFill="0" applyBorder="0" applyAlignment="0" applyProtection="0">
      <alignment horizontal="right"/>
    </xf>
    <xf numFmtId="169" fontId="58" fillId="0" borderId="0" applyFont="0" applyFill="0" applyBorder="0" applyAlignment="0" applyProtection="0">
      <alignment horizontal="right"/>
    </xf>
    <xf numFmtId="0" fontId="11" fillId="13" borderId="0" applyNumberFormat="0" applyBorder="0" applyAlignment="0" applyProtection="0"/>
    <xf numFmtId="0" fontId="120" fillId="13" borderId="0" applyNumberFormat="0" applyBorder="0" applyAlignment="0" applyProtection="0"/>
    <xf numFmtId="169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237" fontId="54" fillId="0" borderId="0"/>
    <xf numFmtId="37" fontId="121" fillId="0" borderId="0"/>
    <xf numFmtId="0" fontId="9" fillId="38" borderId="14" applyNumberFormat="0" applyAlignment="0"/>
    <xf numFmtId="0" fontId="67" fillId="0" borderId="0"/>
    <xf numFmtId="3" fontId="101" fillId="0" borderId="0" applyFont="0" applyFill="0" applyBorder="0" applyAlignment="0" applyProtection="0"/>
    <xf numFmtId="3" fontId="9" fillId="0" borderId="0"/>
    <xf numFmtId="3" fontId="9" fillId="0" borderId="0"/>
    <xf numFmtId="3" fontId="9" fillId="0" borderId="0"/>
    <xf numFmtId="179" fontId="9" fillId="0" borderId="0"/>
    <xf numFmtId="0" fontId="9" fillId="0" borderId="0"/>
    <xf numFmtId="179" fontId="9" fillId="0" borderId="0"/>
    <xf numFmtId="179" fontId="9" fillId="0" borderId="0"/>
    <xf numFmtId="217" fontId="68" fillId="0" borderId="0"/>
    <xf numFmtId="186" fontId="68" fillId="0" borderId="0"/>
    <xf numFmtId="194" fontId="68" fillId="0" borderId="0"/>
    <xf numFmtId="238" fontId="68" fillId="0" borderId="0">
      <alignment horizontal="right"/>
    </xf>
    <xf numFmtId="0" fontId="9" fillId="0" borderId="0"/>
    <xf numFmtId="0" fontId="9" fillId="0" borderId="0"/>
    <xf numFmtId="0" fontId="9" fillId="0" borderId="0"/>
    <xf numFmtId="186" fontId="110" fillId="0" borderId="0" applyFont="0" applyFill="0" applyBorder="0" applyAlignment="0" applyProtection="0"/>
    <xf numFmtId="0" fontId="9" fillId="0" borderId="0"/>
    <xf numFmtId="0" fontId="156" fillId="0" borderId="0"/>
    <xf numFmtId="0" fontId="156" fillId="0" borderId="0"/>
    <xf numFmtId="0" fontId="56" fillId="0" borderId="0"/>
    <xf numFmtId="0" fontId="56" fillId="0" borderId="0"/>
    <xf numFmtId="0" fontId="56" fillId="0" borderId="0"/>
    <xf numFmtId="0" fontId="15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9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2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56" fillId="0" borderId="0"/>
    <xf numFmtId="0" fontId="156" fillId="0" borderId="0"/>
    <xf numFmtId="0" fontId="156" fillId="0" borderId="0"/>
    <xf numFmtId="0" fontId="9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56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55" fillId="0" borderId="0"/>
    <xf numFmtId="0" fontId="155" fillId="0" borderId="0"/>
    <xf numFmtId="0" fontId="9" fillId="0" borderId="0" applyNumberFormat="0" applyFont="0" applyFill="0" applyBorder="0" applyAlignment="0" applyProtection="0"/>
    <xf numFmtId="0" fontId="9" fillId="0" borderId="0"/>
    <xf numFmtId="0" fontId="32" fillId="0" borderId="0"/>
    <xf numFmtId="0" fontId="156" fillId="0" borderId="0"/>
    <xf numFmtId="0" fontId="9" fillId="0" borderId="0"/>
    <xf numFmtId="0" fontId="154" fillId="0" borderId="0"/>
    <xf numFmtId="0" fontId="152" fillId="0" borderId="0"/>
    <xf numFmtId="0" fontId="9" fillId="0" borderId="0"/>
    <xf numFmtId="0" fontId="9" fillId="0" borderId="0"/>
    <xf numFmtId="0" fontId="56" fillId="0" borderId="0"/>
    <xf numFmtId="0" fontId="156" fillId="0" borderId="0"/>
    <xf numFmtId="0" fontId="9" fillId="0" borderId="0"/>
    <xf numFmtId="0" fontId="157" fillId="0" borderId="0"/>
    <xf numFmtId="0" fontId="157" fillId="0" borderId="0"/>
    <xf numFmtId="0" fontId="157" fillId="0" borderId="0"/>
    <xf numFmtId="0" fontId="56" fillId="0" borderId="0"/>
    <xf numFmtId="0" fontId="56" fillId="0" borderId="0"/>
    <xf numFmtId="0" fontId="156" fillId="0" borderId="0"/>
    <xf numFmtId="0" fontId="9" fillId="0" borderId="0"/>
    <xf numFmtId="0" fontId="156" fillId="0" borderId="0"/>
    <xf numFmtId="169" fontId="56" fillId="0" borderId="0"/>
    <xf numFmtId="0" fontId="156" fillId="0" borderId="0"/>
    <xf numFmtId="174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68" fillId="0" borderId="0"/>
    <xf numFmtId="169" fontId="68" fillId="0" borderId="0"/>
    <xf numFmtId="0" fontId="9" fillId="0" borderId="0"/>
    <xf numFmtId="226" fontId="63" fillId="42" borderId="27"/>
    <xf numFmtId="0" fontId="3" fillId="6" borderId="18" applyNumberFormat="0" applyFont="0" applyAlignment="0" applyProtection="0"/>
    <xf numFmtId="0" fontId="3" fillId="6" borderId="18" applyNumberFormat="0" applyFont="0" applyAlignment="0" applyProtection="0"/>
    <xf numFmtId="0" fontId="9" fillId="6" borderId="18" applyNumberFormat="0" applyFont="0" applyAlignment="0" applyProtection="0"/>
    <xf numFmtId="0" fontId="3" fillId="6" borderId="18" applyNumberFormat="0" applyFont="0" applyAlignment="0" applyProtection="0"/>
    <xf numFmtId="0" fontId="152" fillId="6" borderId="18" applyNumberFormat="0" applyFont="0" applyAlignment="0" applyProtection="0"/>
    <xf numFmtId="0" fontId="154" fillId="6" borderId="18" applyNumberFormat="0" applyFont="0" applyAlignment="0" applyProtection="0"/>
    <xf numFmtId="0" fontId="56" fillId="6" borderId="18" applyNumberFormat="0" applyFont="0" applyAlignment="0" applyProtection="0"/>
    <xf numFmtId="0" fontId="122" fillId="0" borderId="28"/>
    <xf numFmtId="169" fontId="56" fillId="6" borderId="18" applyNumberFormat="0" applyFont="0" applyAlignment="0" applyProtection="0"/>
    <xf numFmtId="0" fontId="56" fillId="6" borderId="18" applyNumberFormat="0" applyFont="0" applyAlignment="0" applyProtection="0"/>
    <xf numFmtId="0" fontId="56" fillId="6" borderId="18" applyNumberFormat="0" applyFont="0" applyAlignment="0" applyProtection="0"/>
    <xf numFmtId="0" fontId="56" fillId="6" borderId="18" applyNumberFormat="0" applyFont="0" applyAlignment="0" applyProtection="0"/>
    <xf numFmtId="0" fontId="9" fillId="43" borderId="0"/>
    <xf numFmtId="215" fontId="122" fillId="0" borderId="0"/>
    <xf numFmtId="239" fontId="9" fillId="0" borderId="0"/>
    <xf numFmtId="174" fontId="123" fillId="0" borderId="0" applyFont="0" applyFill="0" applyBorder="0" applyAlignment="0" applyProtection="0"/>
    <xf numFmtId="0" fontId="12" fillId="11" borderId="29" applyNumberFormat="0" applyAlignment="0" applyProtection="0"/>
    <xf numFmtId="0" fontId="12" fillId="11" borderId="29" applyNumberFormat="0" applyAlignment="0" applyProtection="0"/>
    <xf numFmtId="0" fontId="12" fillId="2" borderId="29" applyNumberFormat="0" applyAlignment="0" applyProtection="0"/>
    <xf numFmtId="1" fontId="69" fillId="0" borderId="0" applyProtection="0">
      <alignment horizontal="right" vertical="center"/>
    </xf>
    <xf numFmtId="240" fontId="53" fillId="0" borderId="0" applyFont="0" applyFill="0" applyBorder="0" applyAlignment="0" applyProtection="0">
      <protection locked="0"/>
    </xf>
    <xf numFmtId="178" fontId="22" fillId="0" borderId="0"/>
    <xf numFmtId="9" fontId="98" fillId="0" borderId="0" applyFont="0" applyFill="0" applyBorder="0" applyAlignment="0" applyProtection="0"/>
    <xf numFmtId="178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241" fontId="58" fillId="0" borderId="0" applyFont="0" applyFill="0" applyBorder="0" applyAlignment="0" applyProtection="0">
      <alignment horizontal="right"/>
    </xf>
    <xf numFmtId="10" fontId="9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3" fontId="110" fillId="0" borderId="0" applyFont="0" applyFill="0" applyBorder="0" applyAlignment="0" applyProtection="0"/>
    <xf numFmtId="9" fontId="9" fillId="0" borderId="0" applyFont="0" applyFill="0" applyBorder="0" applyAlignment="0" applyProtection="0"/>
    <xf numFmtId="244" fontId="54" fillId="0" borderId="0"/>
    <xf numFmtId="175" fontId="9" fillId="0" borderId="0"/>
    <xf numFmtId="0" fontId="124" fillId="0" borderId="0"/>
    <xf numFmtId="0" fontId="124" fillId="0" borderId="30">
      <alignment horizontal="right"/>
    </xf>
    <xf numFmtId="0" fontId="124" fillId="0" borderId="0"/>
    <xf numFmtId="3" fontId="125" fillId="0" borderId="0" applyFont="0" applyFill="0" applyBorder="0" applyAlignment="0" applyProtection="0"/>
    <xf numFmtId="205" fontId="9" fillId="43" borderId="18">
      <alignment horizontal="right"/>
    </xf>
    <xf numFmtId="3" fontId="23" fillId="44" borderId="31" applyNumberFormat="0" applyFill="0" applyBorder="0" applyProtection="0">
      <alignment horizontal="left"/>
    </xf>
    <xf numFmtId="0" fontId="70" fillId="0" borderId="32">
      <alignment vertical="center"/>
    </xf>
    <xf numFmtId="169" fontId="70" fillId="0" borderId="32">
      <alignment vertical="center"/>
    </xf>
    <xf numFmtId="4" fontId="126" fillId="37" borderId="33" applyNumberFormat="0" applyProtection="0">
      <alignment vertical="center"/>
    </xf>
    <xf numFmtId="4" fontId="127" fillId="37" borderId="33" applyNumberFormat="0" applyProtection="0">
      <alignment vertical="center"/>
    </xf>
    <xf numFmtId="4" fontId="128" fillId="37" borderId="33" applyNumberFormat="0" applyProtection="0">
      <alignment horizontal="left" vertical="center" indent="1"/>
    </xf>
    <xf numFmtId="4" fontId="128" fillId="45" borderId="0" applyNumberFormat="0" applyProtection="0">
      <alignment horizontal="left" vertical="center" indent="1"/>
    </xf>
    <xf numFmtId="4" fontId="128" fillId="46" borderId="33" applyNumberFormat="0" applyProtection="0">
      <alignment horizontal="right" vertical="center"/>
    </xf>
    <xf numFmtId="4" fontId="128" fillId="47" borderId="33" applyNumberFormat="0" applyProtection="0">
      <alignment horizontal="right" vertical="center"/>
    </xf>
    <xf numFmtId="4" fontId="128" fillId="48" borderId="33" applyNumberFormat="0" applyProtection="0">
      <alignment horizontal="right" vertical="center"/>
    </xf>
    <xf numFmtId="4" fontId="128" fillId="32" borderId="33" applyNumberFormat="0" applyProtection="0">
      <alignment horizontal="right" vertical="center"/>
    </xf>
    <xf numFmtId="4" fontId="128" fillId="33" borderId="33" applyNumberFormat="0" applyProtection="0">
      <alignment horizontal="right" vertical="center"/>
    </xf>
    <xf numFmtId="4" fontId="128" fillId="49" borderId="33" applyNumberFormat="0" applyProtection="0">
      <alignment horizontal="right" vertical="center"/>
    </xf>
    <xf numFmtId="4" fontId="128" fillId="50" borderId="33" applyNumberFormat="0" applyProtection="0">
      <alignment horizontal="right" vertical="center"/>
    </xf>
    <xf numFmtId="4" fontId="128" fillId="34" borderId="33" applyNumberFormat="0" applyProtection="0">
      <alignment horizontal="right" vertical="center"/>
    </xf>
    <xf numFmtId="4" fontId="128" fillId="51" borderId="33" applyNumberFormat="0" applyProtection="0">
      <alignment horizontal="right" vertical="center"/>
    </xf>
    <xf numFmtId="4" fontId="126" fillId="52" borderId="34" applyNumberFormat="0" applyProtection="0">
      <alignment horizontal="left" vertical="center" indent="1"/>
    </xf>
    <xf numFmtId="4" fontId="126" fillId="53" borderId="0" applyNumberFormat="0" applyProtection="0">
      <alignment horizontal="left" vertical="center" indent="1"/>
    </xf>
    <xf numFmtId="4" fontId="126" fillId="45" borderId="0" applyNumberFormat="0" applyProtection="0">
      <alignment horizontal="left" vertical="center" indent="1"/>
    </xf>
    <xf numFmtId="4" fontId="128" fillId="53" borderId="33" applyNumberFormat="0" applyProtection="0">
      <alignment horizontal="right" vertical="center"/>
    </xf>
    <xf numFmtId="4" fontId="52" fillId="53" borderId="0" applyNumberFormat="0" applyProtection="0">
      <alignment horizontal="left" vertical="center" indent="1"/>
    </xf>
    <xf numFmtId="4" fontId="52" fillId="53" borderId="0" applyNumberFormat="0" applyProtection="0">
      <alignment horizontal="left" vertical="center" indent="1"/>
    </xf>
    <xf numFmtId="4" fontId="52" fillId="45" borderId="0" applyNumberFormat="0" applyProtection="0">
      <alignment horizontal="left" vertical="center" indent="1"/>
    </xf>
    <xf numFmtId="4" fontId="52" fillId="45" borderId="0" applyNumberFormat="0" applyProtection="0">
      <alignment horizontal="left" vertical="center" indent="1"/>
    </xf>
    <xf numFmtId="4" fontId="128" fillId="54" borderId="33" applyNumberFormat="0" applyProtection="0">
      <alignment vertical="center"/>
    </xf>
    <xf numFmtId="4" fontId="129" fillId="54" borderId="33" applyNumberFormat="0" applyProtection="0">
      <alignment vertical="center"/>
    </xf>
    <xf numFmtId="4" fontId="126" fillId="53" borderId="35" applyNumberFormat="0" applyProtection="0">
      <alignment horizontal="left" vertical="center" indent="1"/>
    </xf>
    <xf numFmtId="4" fontId="128" fillId="54" borderId="33" applyNumberFormat="0" applyProtection="0">
      <alignment horizontal="right" vertical="center"/>
    </xf>
    <xf numFmtId="4" fontId="129" fillId="54" borderId="33" applyNumberFormat="0" applyProtection="0">
      <alignment horizontal="right" vertical="center"/>
    </xf>
    <xf numFmtId="4" fontId="126" fillId="53" borderId="33" applyNumberFormat="0" applyProtection="0">
      <alignment horizontal="left" vertical="center" indent="1"/>
    </xf>
    <xf numFmtId="4" fontId="130" fillId="55" borderId="35" applyNumberFormat="0" applyProtection="0">
      <alignment horizontal="left" vertical="center" indent="1"/>
    </xf>
    <xf numFmtId="4" fontId="131" fillId="54" borderId="33" applyNumberFormat="0" applyProtection="0">
      <alignment horizontal="right" vertical="center"/>
    </xf>
    <xf numFmtId="0" fontId="9" fillId="0" borderId="0" applyNumberFormat="0" applyFont="0" applyFill="0" applyBorder="0" applyAlignment="0">
      <protection locked="0"/>
    </xf>
    <xf numFmtId="0" fontId="132" fillId="27" borderId="0"/>
    <xf numFmtId="49" fontId="133" fillId="27" borderId="0"/>
    <xf numFmtId="49" fontId="134" fillId="27" borderId="36"/>
    <xf numFmtId="49" fontId="134" fillId="27" borderId="0"/>
    <xf numFmtId="0" fontId="132" fillId="26" borderId="36">
      <protection locked="0"/>
    </xf>
    <xf numFmtId="0" fontId="132" fillId="27" borderId="0"/>
    <xf numFmtId="0" fontId="135" fillId="33" borderId="0"/>
    <xf numFmtId="0" fontId="71" fillId="56" borderId="0">
      <alignment horizontal="right"/>
    </xf>
    <xf numFmtId="169" fontId="71" fillId="56" borderId="0">
      <alignment horizontal="right"/>
    </xf>
    <xf numFmtId="170" fontId="54" fillId="0" borderId="0"/>
    <xf numFmtId="0" fontId="136" fillId="28" borderId="0" applyAlignment="0"/>
    <xf numFmtId="1" fontId="137" fillId="0" borderId="0"/>
    <xf numFmtId="228" fontId="138" fillId="0" borderId="0"/>
    <xf numFmtId="0" fontId="139" fillId="0" borderId="0"/>
    <xf numFmtId="0" fontId="140" fillId="0" borderId="23" applyNumberFormat="0" applyAlignment="0" applyProtection="0">
      <alignment horizontal="centerContinuous"/>
    </xf>
    <xf numFmtId="245" fontId="9" fillId="0" borderId="0">
      <alignment horizontal="left"/>
    </xf>
    <xf numFmtId="0" fontId="9" fillId="0" borderId="0"/>
    <xf numFmtId="0" fontId="9" fillId="0" borderId="0"/>
    <xf numFmtId="0" fontId="54" fillId="0" borderId="0">
      <alignment vertical="top"/>
    </xf>
    <xf numFmtId="0" fontId="87" fillId="0" borderId="0"/>
    <xf numFmtId="169" fontId="54" fillId="0" borderId="0">
      <alignment vertical="top"/>
    </xf>
    <xf numFmtId="0" fontId="54" fillId="0" borderId="0">
      <alignment vertical="top"/>
    </xf>
    <xf numFmtId="0" fontId="87" fillId="0" borderId="0"/>
    <xf numFmtId="169" fontId="54" fillId="0" borderId="0">
      <alignment vertical="top"/>
    </xf>
    <xf numFmtId="0" fontId="141" fillId="0" borderId="0"/>
    <xf numFmtId="0" fontId="92" fillId="0" borderId="37" applyNumberFormat="0" applyAlignment="0" applyProtection="0"/>
    <xf numFmtId="0" fontId="9" fillId="0" borderId="0" applyNumberFormat="0" applyFont="0" applyAlignment="0" applyProtection="0"/>
    <xf numFmtId="0" fontId="142" fillId="0" borderId="37" applyNumberFormat="0" applyAlignment="0" applyProtection="0">
      <alignment horizontal="left" vertical="top"/>
    </xf>
    <xf numFmtId="0" fontId="143" fillId="0" borderId="0" applyNumberFormat="0" applyProtection="0">
      <alignment horizontal="left" vertical="top"/>
    </xf>
    <xf numFmtId="0" fontId="9" fillId="0" borderId="0" applyNumberFormat="0" applyFont="0" applyAlignment="0" applyProtection="0"/>
    <xf numFmtId="0" fontId="92" fillId="0" borderId="37">
      <alignment vertical="top"/>
    </xf>
    <xf numFmtId="0" fontId="143" fillId="0" borderId="0" applyNumberFormat="0" applyFill="0" applyBorder="0" applyProtection="0"/>
    <xf numFmtId="0" fontId="144" fillId="0" borderId="0" applyNumberFormat="0" applyFill="0" applyBorder="0" applyProtection="0">
      <alignment vertical="top"/>
    </xf>
    <xf numFmtId="0" fontId="145" fillId="0" borderId="23" applyNumberFormat="0" applyProtection="0">
      <alignment horizontal="left" vertical="top"/>
    </xf>
    <xf numFmtId="0" fontId="145" fillId="0" borderId="23" applyNumberFormat="0" applyProtection="0">
      <alignment horizontal="right" vertical="top"/>
    </xf>
    <xf numFmtId="0" fontId="142" fillId="0" borderId="0" applyNumberFormat="0" applyProtection="0">
      <alignment horizontal="left" vertical="top"/>
    </xf>
    <xf numFmtId="0" fontId="142" fillId="0" borderId="0" applyNumberFormat="0" applyProtection="0">
      <alignment horizontal="right" vertical="top"/>
    </xf>
    <xf numFmtId="0" fontId="92" fillId="0" borderId="0" applyNumberFormat="0" applyProtection="0">
      <alignment horizontal="left" vertical="top"/>
    </xf>
    <xf numFmtId="0" fontId="92" fillId="0" borderId="0" applyNumberFormat="0" applyProtection="0">
      <alignment horizontal="right" vertical="top"/>
    </xf>
    <xf numFmtId="0" fontId="9" fillId="0" borderId="38" applyNumberFormat="0" applyFont="0" applyAlignment="0" applyProtection="0"/>
    <xf numFmtId="0" fontId="9" fillId="0" borderId="39" applyNumberFormat="0" applyFont="0" applyAlignment="0" applyProtection="0"/>
    <xf numFmtId="0" fontId="9" fillId="0" borderId="40" applyNumberFormat="0" applyFont="0" applyAlignment="0" applyProtection="0"/>
    <xf numFmtId="10" fontId="146" fillId="0" borderId="0" applyNumberFormat="0" applyFill="0" applyBorder="0" applyProtection="0">
      <alignment horizontal="right" vertical="top"/>
    </xf>
    <xf numFmtId="0" fontId="142" fillId="0" borderId="23" applyNumberFormat="0" applyFill="0" applyAlignment="0" applyProtection="0"/>
    <xf numFmtId="0" fontId="92" fillId="0" borderId="5" applyNumberFormat="0" applyFont="0" applyFill="0" applyAlignment="0" applyProtection="0">
      <alignment horizontal="left" vertical="top"/>
    </xf>
    <xf numFmtId="0" fontId="92" fillId="0" borderId="5" applyNumberFormat="0" applyFont="0" applyFill="0" applyAlignment="0" applyProtection="0">
      <alignment horizontal="left" vertical="top"/>
    </xf>
    <xf numFmtId="0" fontId="142" fillId="0" borderId="2" applyNumberFormat="0" applyFill="0" applyAlignment="0" applyProtection="0">
      <alignment vertical="top"/>
    </xf>
    <xf numFmtId="0" fontId="142" fillId="0" borderId="2" applyNumberFormat="0" applyFill="0" applyAlignment="0" applyProtection="0">
      <alignment vertical="top"/>
    </xf>
    <xf numFmtId="0" fontId="142" fillId="0" borderId="2" applyNumberFormat="0" applyFill="0" applyAlignment="0" applyProtection="0">
      <alignment vertical="top"/>
    </xf>
    <xf numFmtId="0" fontId="52" fillId="0" borderId="41" applyBorder="0">
      <alignment horizontal="center"/>
    </xf>
    <xf numFmtId="169" fontId="52" fillId="0" borderId="41" applyBorder="0">
      <alignment horizontal="center"/>
    </xf>
    <xf numFmtId="0" fontId="52" fillId="0" borderId="41" applyBorder="0">
      <alignment horizontal="center"/>
    </xf>
    <xf numFmtId="0" fontId="52" fillId="0" borderId="41" applyBorder="0">
      <alignment horizontal="center"/>
    </xf>
    <xf numFmtId="0" fontId="72" fillId="0" borderId="0" applyBorder="0" applyProtection="0">
      <alignment vertical="center"/>
    </xf>
    <xf numFmtId="0" fontId="72" fillId="0" borderId="0" applyBorder="0" applyProtection="0">
      <alignment vertical="center"/>
    </xf>
    <xf numFmtId="169" fontId="72" fillId="0" borderId="0" applyBorder="0" applyProtection="0">
      <alignment vertical="center"/>
    </xf>
    <xf numFmtId="0" fontId="72" fillId="0" borderId="2" applyBorder="0" applyProtection="0">
      <alignment horizontal="right" vertical="center"/>
    </xf>
    <xf numFmtId="211" fontId="72" fillId="0" borderId="2" applyBorder="0" applyProtection="0">
      <alignment horizontal="right" vertical="center"/>
    </xf>
    <xf numFmtId="211" fontId="72" fillId="0" borderId="2" applyBorder="0" applyProtection="0">
      <alignment horizontal="right" vertical="center"/>
    </xf>
    <xf numFmtId="211" fontId="72" fillId="0" borderId="2" applyBorder="0" applyProtection="0">
      <alignment horizontal="right" vertical="center"/>
    </xf>
    <xf numFmtId="169" fontId="72" fillId="0" borderId="2" applyBorder="0" applyProtection="0">
      <alignment horizontal="right" vertical="center"/>
    </xf>
    <xf numFmtId="169" fontId="72" fillId="0" borderId="2" applyBorder="0" applyProtection="0">
      <alignment horizontal="right" vertical="center"/>
    </xf>
    <xf numFmtId="169" fontId="72" fillId="0" borderId="2" applyBorder="0" applyProtection="0">
      <alignment horizontal="right" vertical="center"/>
    </xf>
    <xf numFmtId="0" fontId="72" fillId="0" borderId="2" applyBorder="0" applyProtection="0">
      <alignment horizontal="right" vertical="center"/>
    </xf>
    <xf numFmtId="0" fontId="72" fillId="0" borderId="2" applyBorder="0" applyProtection="0">
      <alignment horizontal="right" vertical="center"/>
    </xf>
    <xf numFmtId="0" fontId="73" fillId="57" borderId="0" applyBorder="0" applyProtection="0">
      <alignment horizontal="centerContinuous" vertical="center"/>
    </xf>
    <xf numFmtId="0" fontId="73" fillId="57" borderId="0" applyBorder="0" applyProtection="0">
      <alignment horizontal="centerContinuous" vertical="center"/>
    </xf>
    <xf numFmtId="169" fontId="73" fillId="57" borderId="0" applyBorder="0" applyProtection="0">
      <alignment horizontal="centerContinuous" vertical="center"/>
    </xf>
    <xf numFmtId="0" fontId="73" fillId="56" borderId="2" applyBorder="0" applyProtection="0">
      <alignment horizontal="centerContinuous" vertical="center"/>
    </xf>
    <xf numFmtId="0" fontId="73" fillId="56" borderId="2" applyBorder="0" applyProtection="0">
      <alignment horizontal="centerContinuous" vertical="center"/>
    </xf>
    <xf numFmtId="0" fontId="73" fillId="56" borderId="2" applyBorder="0" applyProtection="0">
      <alignment horizontal="centerContinuous" vertical="center"/>
    </xf>
    <xf numFmtId="0" fontId="73" fillId="56" borderId="2" applyBorder="0" applyProtection="0">
      <alignment horizontal="centerContinuous" vertical="center"/>
    </xf>
    <xf numFmtId="169" fontId="73" fillId="56" borderId="2" applyBorder="0" applyProtection="0">
      <alignment horizontal="centerContinuous" vertical="center"/>
    </xf>
    <xf numFmtId="169" fontId="73" fillId="56" borderId="2" applyBorder="0" applyProtection="0">
      <alignment horizontal="centerContinuous" vertical="center"/>
    </xf>
    <xf numFmtId="169" fontId="73" fillId="56" borderId="2" applyBorder="0" applyProtection="0">
      <alignment horizontal="centerContinuous" vertical="center"/>
    </xf>
    <xf numFmtId="0" fontId="73" fillId="56" borderId="2" applyBorder="0" applyProtection="0">
      <alignment horizontal="centerContinuous" vertical="center"/>
    </xf>
    <xf numFmtId="0" fontId="73" fillId="56" borderId="2" applyBorder="0" applyProtection="0">
      <alignment horizontal="centerContinuous" vertical="center"/>
    </xf>
    <xf numFmtId="0" fontId="9" fillId="0" borderId="0" applyBorder="0" applyProtection="0">
      <alignment vertical="center"/>
    </xf>
    <xf numFmtId="0" fontId="68" fillId="0" borderId="0"/>
    <xf numFmtId="169" fontId="68" fillId="0" borderId="0"/>
    <xf numFmtId="0" fontId="74" fillId="0" borderId="0" applyFill="0" applyBorder="0" applyProtection="0">
      <alignment horizontal="left"/>
    </xf>
    <xf numFmtId="0" fontId="74" fillId="0" borderId="0" applyFill="0" applyBorder="0" applyProtection="0">
      <alignment horizontal="left"/>
    </xf>
    <xf numFmtId="169" fontId="74" fillId="0" borderId="0" applyFill="0" applyBorder="0" applyProtection="0">
      <alignment horizontal="left"/>
    </xf>
    <xf numFmtId="0" fontId="61" fillId="0" borderId="41" applyFill="0" applyBorder="0" applyProtection="0">
      <alignment horizontal="left" vertical="top"/>
    </xf>
    <xf numFmtId="0" fontId="61" fillId="0" borderId="41" applyFill="0" applyBorder="0" applyProtection="0">
      <alignment horizontal="left" vertical="top"/>
    </xf>
    <xf numFmtId="169" fontId="61" fillId="0" borderId="41" applyFill="0" applyBorder="0" applyProtection="0">
      <alignment horizontal="left" vertical="top"/>
    </xf>
    <xf numFmtId="0" fontId="51" fillId="0" borderId="0">
      <alignment horizontal="centerContinuous"/>
    </xf>
    <xf numFmtId="0" fontId="46" fillId="40" borderId="14" applyNumberFormat="0" applyAlignment="0">
      <alignment horizontal="center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2" fillId="0" borderId="0"/>
    <xf numFmtId="0" fontId="75" fillId="0" borderId="0"/>
    <xf numFmtId="169" fontId="75" fillId="0" borderId="0"/>
    <xf numFmtId="0" fontId="76" fillId="0" borderId="0"/>
    <xf numFmtId="169" fontId="76" fillId="0" borderId="0"/>
    <xf numFmtId="0" fontId="46" fillId="0" borderId="31" applyNumberFormat="0" applyAlignment="0" applyProtection="0"/>
    <xf numFmtId="182" fontId="77" fillId="58" borderId="0"/>
    <xf numFmtId="0" fontId="136" fillId="51" borderId="0"/>
    <xf numFmtId="186" fontId="9" fillId="49" borderId="0"/>
    <xf numFmtId="0" fontId="147" fillId="11" borderId="0"/>
    <xf numFmtId="0" fontId="148" fillId="0" borderId="0"/>
    <xf numFmtId="0" fontId="149" fillId="0" borderId="13">
      <alignment horizontal="left"/>
    </xf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80" fillId="0" borderId="24" applyNumberFormat="0" applyFill="0" applyAlignment="0" applyProtection="0"/>
    <xf numFmtId="0" fontId="17" fillId="0" borderId="42" applyNumberFormat="0" applyFill="0" applyAlignment="0" applyProtection="0"/>
    <xf numFmtId="0" fontId="17" fillId="0" borderId="42" applyNumberFormat="0" applyFill="0" applyAlignment="0" applyProtection="0"/>
    <xf numFmtId="0" fontId="83" fillId="0" borderId="42" applyNumberFormat="0" applyFill="0" applyAlignment="0" applyProtection="0"/>
    <xf numFmtId="0" fontId="18" fillId="0" borderId="43" applyNumberFormat="0" applyFill="0" applyAlignment="0" applyProtection="0"/>
    <xf numFmtId="0" fontId="18" fillId="0" borderId="43" applyNumberFormat="0" applyFill="0" applyAlignment="0" applyProtection="0"/>
    <xf numFmtId="0" fontId="81" fillId="0" borderId="4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51" fillId="0" borderId="45" applyNumberFormat="0" applyFill="0" applyBorder="0" applyAlignment="0">
      <alignment horizontal="left" vertical="center"/>
    </xf>
    <xf numFmtId="0" fontId="19" fillId="0" borderId="46" applyNumberFormat="0" applyFill="0" applyAlignment="0" applyProtection="0"/>
    <xf numFmtId="0" fontId="23" fillId="38" borderId="0" applyNumberFormat="0" applyFont="0" applyFill="0" applyAlignment="0">
      <alignment horizontal="left"/>
    </xf>
    <xf numFmtId="169" fontId="19" fillId="0" borderId="46" applyNumberFormat="0" applyFill="0" applyAlignment="0" applyProtection="0"/>
    <xf numFmtId="0" fontId="19" fillId="0" borderId="47" applyNumberFormat="0" applyFill="0" applyAlignment="0" applyProtection="0"/>
    <xf numFmtId="0" fontId="19" fillId="0" borderId="47" applyNumberFormat="0" applyFill="0" applyAlignment="0" applyProtection="0"/>
    <xf numFmtId="0" fontId="19" fillId="0" borderId="46" applyNumberFormat="0" applyFill="0" applyAlignment="0" applyProtection="0"/>
    <xf numFmtId="0" fontId="51" fillId="0" borderId="14">
      <alignment horizontal="center"/>
    </xf>
    <xf numFmtId="0" fontId="78" fillId="0" borderId="0">
      <alignment horizontal="fill"/>
    </xf>
    <xf numFmtId="0" fontId="22" fillId="40" borderId="17">
      <alignment horizontal="right"/>
    </xf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166" fontId="54" fillId="0" borderId="0" applyFont="0" applyFill="0" applyBorder="0" applyAlignment="0" applyProtection="0"/>
    <xf numFmtId="44" fontId="156" fillId="0" borderId="0" applyFont="0" applyFill="0" applyBorder="0" applyAlignment="0" applyProtection="0"/>
    <xf numFmtId="44" fontId="3" fillId="0" borderId="0" applyFont="0" applyFill="0" applyBorder="0" applyAlignment="0" applyProtection="0"/>
    <xf numFmtId="199" fontId="59" fillId="0" borderId="0" applyFont="0" applyFill="0" applyBorder="0" applyAlignment="0" applyProtection="0"/>
    <xf numFmtId="202" fontId="5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69" fontId="13" fillId="0" borderId="0" applyNumberFormat="0" applyFill="0" applyBorder="0" applyAlignment="0" applyProtection="0"/>
    <xf numFmtId="0" fontId="9" fillId="2" borderId="0"/>
    <xf numFmtId="1" fontId="150" fillId="0" borderId="0">
      <alignment horizontal="right"/>
    </xf>
    <xf numFmtId="0" fontId="54" fillId="0" borderId="0"/>
    <xf numFmtId="0" fontId="79" fillId="0" borderId="2" applyBorder="0" applyProtection="0">
      <alignment horizontal="right"/>
    </xf>
    <xf numFmtId="169" fontId="79" fillId="0" borderId="2" applyBorder="0" applyProtection="0">
      <alignment horizontal="right"/>
    </xf>
    <xf numFmtId="169" fontId="79" fillId="0" borderId="2" applyBorder="0" applyProtection="0">
      <alignment horizontal="right"/>
    </xf>
    <xf numFmtId="169" fontId="79" fillId="0" borderId="2" applyBorder="0" applyProtection="0">
      <alignment horizontal="right"/>
    </xf>
    <xf numFmtId="0" fontId="79" fillId="0" borderId="2" applyBorder="0" applyProtection="0">
      <alignment horizontal="right"/>
    </xf>
    <xf numFmtId="0" fontId="79" fillId="0" borderId="2" applyBorder="0" applyProtection="0">
      <alignment horizontal="right"/>
    </xf>
    <xf numFmtId="246" fontId="151" fillId="0" borderId="0" applyFont="0" applyFill="0" applyAlignment="0" applyProtection="0"/>
  </cellStyleXfs>
  <cellXfs count="335">
    <xf numFmtId="0" fontId="0" fillId="0" borderId="0" xfId="0"/>
    <xf numFmtId="0" fontId="22" fillId="0" borderId="0" xfId="0" applyFont="1"/>
    <xf numFmtId="167" fontId="22" fillId="0" borderId="0" xfId="0" applyNumberFormat="1" applyFont="1"/>
    <xf numFmtId="172" fontId="22" fillId="0" borderId="0" xfId="604" applyNumberFormat="1" applyFont="1"/>
    <xf numFmtId="0" fontId="23" fillId="0" borderId="0" xfId="3" applyFont="1" applyBorder="1"/>
    <xf numFmtId="0" fontId="24" fillId="0" borderId="0" xfId="881" applyFont="1" applyAlignment="1">
      <alignment wrapText="1"/>
    </xf>
    <xf numFmtId="0" fontId="24" fillId="0" borderId="0" xfId="881" applyFont="1" applyAlignment="1">
      <alignment horizontal="center" wrapText="1"/>
    </xf>
    <xf numFmtId="0" fontId="1" fillId="0" borderId="0" xfId="881" applyAlignment="1">
      <alignment wrapText="1"/>
    </xf>
    <xf numFmtId="169" fontId="26" fillId="0" borderId="0" xfId="881" applyNumberFormat="1" applyFont="1"/>
    <xf numFmtId="169" fontId="26" fillId="0" borderId="0" xfId="881" applyNumberFormat="1" applyFont="1" applyAlignment="1">
      <alignment horizontal="right"/>
    </xf>
    <xf numFmtId="0" fontId="1" fillId="0" borderId="0" xfId="881"/>
    <xf numFmtId="167" fontId="22" fillId="0" borderId="0" xfId="3" applyNumberFormat="1" applyFont="1"/>
    <xf numFmtId="0" fontId="23" fillId="0" borderId="0" xfId="3" applyFont="1" applyAlignment="1">
      <alignment horizontal="center"/>
    </xf>
    <xf numFmtId="169" fontId="24" fillId="0" borderId="0" xfId="3" applyNumberFormat="1" applyFont="1" applyFill="1" applyBorder="1"/>
    <xf numFmtId="0" fontId="22" fillId="0" borderId="0" xfId="3" applyFont="1"/>
    <xf numFmtId="0" fontId="23" fillId="0" borderId="0" xfId="3" applyFont="1"/>
    <xf numFmtId="0" fontId="22" fillId="0" borderId="0" xfId="3" applyFont="1" applyAlignment="1"/>
    <xf numFmtId="0" fontId="22" fillId="0" borderId="50" xfId="3" applyFont="1" applyFill="1" applyBorder="1" applyAlignment="1"/>
    <xf numFmtId="0" fontId="22" fillId="0" borderId="51" xfId="3" applyFont="1" applyFill="1" applyBorder="1" applyAlignment="1"/>
    <xf numFmtId="0" fontId="22" fillId="0" borderId="51" xfId="3" applyFont="1" applyBorder="1" applyAlignment="1"/>
    <xf numFmtId="0" fontId="22" fillId="0" borderId="52" xfId="3" applyFont="1" applyBorder="1" applyAlignment="1"/>
    <xf numFmtId="0" fontId="31" fillId="0" borderId="53" xfId="883" applyFont="1" applyBorder="1" applyAlignment="1">
      <alignment horizontal="center" vertical="center"/>
    </xf>
    <xf numFmtId="0" fontId="31" fillId="0" borderId="14" xfId="883" applyFont="1" applyBorder="1" applyAlignment="1">
      <alignment horizontal="center" vertical="center"/>
    </xf>
    <xf numFmtId="0" fontId="32" fillId="0" borderId="14" xfId="883" applyFont="1" applyBorder="1" applyAlignment="1">
      <alignment horizontal="center" vertical="center" wrapText="1"/>
    </xf>
    <xf numFmtId="0" fontId="32" fillId="0" borderId="53" xfId="883" applyFont="1" applyBorder="1" applyAlignment="1">
      <alignment horizontal="center" vertical="center"/>
    </xf>
    <xf numFmtId="0" fontId="32" fillId="0" borderId="14" xfId="883" applyFont="1" applyBorder="1" applyAlignment="1">
      <alignment horizontal="center" vertical="center"/>
    </xf>
    <xf numFmtId="3" fontId="32" fillId="0" borderId="53" xfId="883" applyNumberFormat="1" applyFont="1" applyBorder="1"/>
    <xf numFmtId="3" fontId="32" fillId="0" borderId="14" xfId="883" applyNumberFormat="1" applyFont="1" applyBorder="1"/>
    <xf numFmtId="167" fontId="32" fillId="0" borderId="14" xfId="883" applyNumberFormat="1" applyFont="1" applyBorder="1" applyAlignment="1">
      <alignment horizontal="center" wrapText="1"/>
    </xf>
    <xf numFmtId="0" fontId="32" fillId="0" borderId="0" xfId="0" applyFont="1" applyBorder="1"/>
    <xf numFmtId="0" fontId="32" fillId="0" borderId="0" xfId="0" applyFont="1"/>
    <xf numFmtId="0" fontId="31" fillId="26" borderId="54" xfId="3" applyFont="1" applyFill="1" applyBorder="1" applyAlignment="1" applyProtection="1">
      <alignment vertical="center"/>
      <protection hidden="1"/>
    </xf>
    <xf numFmtId="3" fontId="31" fillId="26" borderId="0" xfId="883" applyNumberFormat="1" applyFont="1" applyFill="1" applyAlignment="1">
      <alignment horizontal="center"/>
    </xf>
    <xf numFmtId="170" fontId="31" fillId="0" borderId="0" xfId="883" applyNumberFormat="1" applyFont="1" applyAlignment="1">
      <alignment horizontal="center"/>
    </xf>
    <xf numFmtId="0" fontId="35" fillId="0" borderId="0" xfId="3" applyFont="1" applyBorder="1" applyProtection="1"/>
    <xf numFmtId="0" fontId="35" fillId="0" borderId="0" xfId="3" applyFont="1" applyBorder="1" applyAlignment="1" applyProtection="1"/>
    <xf numFmtId="0" fontId="32" fillId="26" borderId="0" xfId="3" applyFont="1" applyFill="1" applyBorder="1"/>
    <xf numFmtId="0" fontId="35" fillId="26" borderId="0" xfId="3" applyFont="1" applyFill="1" applyBorder="1" applyProtection="1"/>
    <xf numFmtId="0" fontId="35" fillId="26" borderId="0" xfId="3" applyFont="1" applyFill="1" applyBorder="1"/>
    <xf numFmtId="0" fontId="35" fillId="26" borderId="0" xfId="3" applyFont="1" applyFill="1" applyBorder="1" applyAlignment="1"/>
    <xf numFmtId="0" fontId="35" fillId="26" borderId="0" xfId="3" applyFont="1" applyFill="1"/>
    <xf numFmtId="0" fontId="31" fillId="26" borderId="0" xfId="3" applyFont="1" applyFill="1" applyBorder="1" applyAlignment="1">
      <alignment horizontal="center"/>
    </xf>
    <xf numFmtId="0" fontId="32" fillId="26" borderId="23" xfId="3" applyFont="1" applyFill="1" applyBorder="1" applyAlignment="1" applyProtection="1">
      <alignment vertical="center"/>
      <protection hidden="1"/>
    </xf>
    <xf numFmtId="0" fontId="32" fillId="26" borderId="55" xfId="3" applyFont="1" applyFill="1" applyBorder="1" applyAlignment="1" applyProtection="1">
      <alignment vertical="center"/>
      <protection hidden="1"/>
    </xf>
    <xf numFmtId="0" fontId="32" fillId="26" borderId="0" xfId="3" applyFont="1" applyFill="1" applyBorder="1" applyAlignment="1" applyProtection="1">
      <alignment vertical="center"/>
      <protection hidden="1"/>
    </xf>
    <xf numFmtId="0" fontId="32" fillId="26" borderId="5" xfId="3" applyFont="1" applyFill="1" applyBorder="1" applyAlignment="1" applyProtection="1">
      <alignment vertical="center"/>
      <protection hidden="1"/>
    </xf>
    <xf numFmtId="0" fontId="31" fillId="0" borderId="56" xfId="883" applyFont="1" applyBorder="1" applyAlignment="1">
      <alignment horizontal="center" vertical="center"/>
    </xf>
    <xf numFmtId="167" fontId="31" fillId="0" borderId="56" xfId="883" applyNumberFormat="1" applyFont="1" applyBorder="1" applyAlignment="1">
      <alignment horizontal="center"/>
    </xf>
    <xf numFmtId="3" fontId="32" fillId="0" borderId="57" xfId="883" applyNumberFormat="1" applyFont="1" applyBorder="1"/>
    <xf numFmtId="3" fontId="32" fillId="0" borderId="58" xfId="883" applyNumberFormat="1" applyFont="1" applyBorder="1"/>
    <xf numFmtId="167" fontId="32" fillId="0" borderId="58" xfId="883" applyNumberFormat="1" applyFont="1" applyBorder="1" applyAlignment="1">
      <alignment horizontal="center" wrapText="1"/>
    </xf>
    <xf numFmtId="167" fontId="31" fillId="0" borderId="59" xfId="883" applyNumberFormat="1" applyFont="1" applyBorder="1" applyAlignment="1">
      <alignment horizontal="center"/>
    </xf>
    <xf numFmtId="0" fontId="35" fillId="0" borderId="0" xfId="0" applyFont="1"/>
    <xf numFmtId="0" fontId="35" fillId="0" borderId="0" xfId="0" applyFont="1" applyBorder="1"/>
    <xf numFmtId="0" fontId="38" fillId="0" borderId="0" xfId="3" applyFont="1" applyAlignment="1" applyProtection="1"/>
    <xf numFmtId="0" fontId="39" fillId="0" borderId="0" xfId="3" applyFont="1" applyAlignment="1" applyProtection="1"/>
    <xf numFmtId="0" fontId="39" fillId="0" borderId="0" xfId="3" applyFont="1" applyAlignment="1" applyProtection="1">
      <alignment vertical="center"/>
    </xf>
    <xf numFmtId="0" fontId="38" fillId="0" borderId="0" xfId="3" applyFont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39" fillId="26" borderId="0" xfId="0" applyFont="1" applyFill="1" applyAlignment="1" applyProtection="1">
      <alignment horizontal="left" wrapText="1"/>
    </xf>
    <xf numFmtId="0" fontId="31" fillId="0" borderId="5" xfId="883" applyFont="1" applyBorder="1"/>
    <xf numFmtId="0" fontId="32" fillId="0" borderId="5" xfId="0" applyFont="1" applyBorder="1"/>
    <xf numFmtId="0" fontId="31" fillId="26" borderId="5" xfId="3" applyFont="1" applyFill="1" applyBorder="1" applyAlignment="1" applyProtection="1">
      <alignment vertical="center"/>
      <protection hidden="1"/>
    </xf>
    <xf numFmtId="0" fontId="31" fillId="26" borderId="0" xfId="3" applyFont="1" applyFill="1" applyBorder="1" applyAlignment="1" applyProtection="1">
      <alignment vertical="center"/>
      <protection hidden="1"/>
    </xf>
    <xf numFmtId="0" fontId="31" fillId="26" borderId="7" xfId="3" applyFont="1" applyFill="1" applyBorder="1" applyAlignment="1" applyProtection="1">
      <alignment vertical="center"/>
      <protection hidden="1"/>
    </xf>
    <xf numFmtId="0" fontId="32" fillId="26" borderId="7" xfId="3" applyFont="1" applyFill="1" applyBorder="1" applyAlignment="1" applyProtection="1">
      <alignment vertical="center"/>
      <protection hidden="1"/>
    </xf>
    <xf numFmtId="170" fontId="31" fillId="0" borderId="7" xfId="883" applyNumberFormat="1" applyFont="1" applyBorder="1" applyAlignment="1">
      <alignment horizontal="center"/>
    </xf>
    <xf numFmtId="0" fontId="32" fillId="0" borderId="7" xfId="0" applyFont="1" applyBorder="1"/>
    <xf numFmtId="2" fontId="32" fillId="0" borderId="14" xfId="883" applyNumberFormat="1" applyFont="1" applyBorder="1" applyAlignment="1">
      <alignment horizontal="center"/>
    </xf>
    <xf numFmtId="2" fontId="32" fillId="0" borderId="58" xfId="883" applyNumberFormat="1" applyFont="1" applyBorder="1" applyAlignment="1">
      <alignment horizontal="center"/>
    </xf>
    <xf numFmtId="0" fontId="42" fillId="26" borderId="23" xfId="3" applyFont="1" applyFill="1" applyBorder="1" applyAlignment="1" applyProtection="1">
      <alignment vertical="center"/>
      <protection hidden="1"/>
    </xf>
    <xf numFmtId="0" fontId="42" fillId="26" borderId="55" xfId="3" applyFont="1" applyFill="1" applyBorder="1" applyAlignment="1" applyProtection="1">
      <alignment vertical="center"/>
      <protection hidden="1"/>
    </xf>
    <xf numFmtId="0" fontId="42" fillId="26" borderId="0" xfId="3" applyFont="1" applyFill="1" applyBorder="1" applyAlignment="1" applyProtection="1">
      <alignment vertical="center"/>
      <protection hidden="1"/>
    </xf>
    <xf numFmtId="0" fontId="42" fillId="0" borderId="0" xfId="0" applyFont="1" applyBorder="1"/>
    <xf numFmtId="0" fontId="42" fillId="0" borderId="0" xfId="0" applyFont="1"/>
    <xf numFmtId="167" fontId="26" fillId="0" borderId="0" xfId="3" applyNumberFormat="1" applyFont="1" applyFill="1" applyBorder="1"/>
    <xf numFmtId="0" fontId="22" fillId="0" borderId="50" xfId="3" applyFont="1" applyFill="1" applyBorder="1"/>
    <xf numFmtId="0" fontId="22" fillId="0" borderId="50" xfId="3" applyFont="1" applyBorder="1"/>
    <xf numFmtId="0" fontId="22" fillId="0" borderId="51" xfId="3" applyFont="1" applyBorder="1"/>
    <xf numFmtId="0" fontId="22" fillId="0" borderId="52" xfId="3" applyFont="1" applyBorder="1"/>
    <xf numFmtId="167" fontId="23" fillId="0" borderId="0" xfId="3" applyNumberFormat="1" applyFont="1" applyAlignment="1">
      <alignment horizontal="center"/>
    </xf>
    <xf numFmtId="0" fontId="22" fillId="0" borderId="60" xfId="3" applyFont="1" applyBorder="1"/>
    <xf numFmtId="0" fontId="22" fillId="0" borderId="60" xfId="3" applyFont="1" applyBorder="1" applyAlignment="1"/>
    <xf numFmtId="2" fontId="22" fillId="38" borderId="51" xfId="3" applyNumberFormat="1" applyFont="1" applyFill="1" applyBorder="1"/>
    <xf numFmtId="0" fontId="22" fillId="0" borderId="61" xfId="3" applyFont="1" applyBorder="1"/>
    <xf numFmtId="0" fontId="22" fillId="0" borderId="61" xfId="3" applyFont="1" applyBorder="1" applyAlignment="1"/>
    <xf numFmtId="2" fontId="22" fillId="38" borderId="61" xfId="3" applyNumberFormat="1" applyFont="1" applyFill="1" applyBorder="1"/>
    <xf numFmtId="2" fontId="22" fillId="38" borderId="60" xfId="3" applyNumberFormat="1" applyFont="1" applyFill="1" applyBorder="1"/>
    <xf numFmtId="167" fontId="22" fillId="0" borderId="0" xfId="881" applyNumberFormat="1" applyFont="1"/>
    <xf numFmtId="167" fontId="32" fillId="0" borderId="0" xfId="0" applyNumberFormat="1" applyFont="1" applyBorder="1"/>
    <xf numFmtId="167" fontId="1" fillId="0" borderId="0" xfId="881" applyNumberFormat="1"/>
    <xf numFmtId="173" fontId="1" fillId="0" borderId="0" xfId="881" applyNumberFormat="1"/>
    <xf numFmtId="0" fontId="43" fillId="0" borderId="51" xfId="3" applyFont="1" applyBorder="1" applyAlignment="1"/>
    <xf numFmtId="0" fontId="43" fillId="0" borderId="51" xfId="3" applyFont="1" applyFill="1" applyBorder="1" applyAlignment="1"/>
    <xf numFmtId="0" fontId="22" fillId="0" borderId="0" xfId="3" applyFont="1" applyFill="1" applyBorder="1"/>
    <xf numFmtId="0" fontId="22" fillId="0" borderId="0" xfId="3" applyFont="1" applyBorder="1"/>
    <xf numFmtId="0" fontId="43" fillId="0" borderId="0" xfId="3" applyFont="1" applyFill="1" applyBorder="1" applyAlignment="1"/>
    <xf numFmtId="169" fontId="24" fillId="59" borderId="0" xfId="3" applyNumberFormat="1" applyFont="1" applyFill="1" applyBorder="1"/>
    <xf numFmtId="0" fontId="22" fillId="59" borderId="0" xfId="3" applyFont="1" applyFill="1"/>
    <xf numFmtId="0" fontId="23" fillId="59" borderId="0" xfId="3" applyFont="1" applyFill="1" applyAlignment="1">
      <alignment horizontal="center"/>
    </xf>
    <xf numFmtId="167" fontId="26" fillId="0" borderId="50" xfId="3" applyNumberFormat="1" applyFont="1" applyFill="1" applyBorder="1"/>
    <xf numFmtId="0" fontId="32" fillId="0" borderId="0" xfId="0" applyFont="1" applyFill="1" applyBorder="1"/>
    <xf numFmtId="167" fontId="32" fillId="0" borderId="0" xfId="0" applyNumberFormat="1" applyFont="1" applyFill="1" applyBorder="1"/>
    <xf numFmtId="0" fontId="45" fillId="0" borderId="0" xfId="0" applyFont="1"/>
    <xf numFmtId="2" fontId="31" fillId="0" borderId="14" xfId="883" applyNumberFormat="1" applyFont="1" applyBorder="1" applyAlignment="1">
      <alignment horizontal="center"/>
    </xf>
    <xf numFmtId="2" fontId="31" fillId="0" borderId="58" xfId="883" applyNumberFormat="1" applyFont="1" applyBorder="1" applyAlignment="1">
      <alignment horizontal="center"/>
    </xf>
    <xf numFmtId="0" fontId="23" fillId="0" borderId="0" xfId="3" applyFont="1" applyBorder="1" applyAlignment="1">
      <alignment horizontal="center"/>
    </xf>
    <xf numFmtId="0" fontId="33" fillId="33" borderId="0" xfId="3" applyFont="1" applyFill="1" applyBorder="1" applyAlignment="1">
      <alignment horizontal="center"/>
    </xf>
    <xf numFmtId="0" fontId="33" fillId="33" borderId="1" xfId="3" applyFont="1" applyFill="1" applyBorder="1" applyAlignment="1">
      <alignment horizontal="center"/>
    </xf>
    <xf numFmtId="0" fontId="38" fillId="26" borderId="0" xfId="3" applyFont="1" applyFill="1" applyBorder="1" applyAlignment="1" applyProtection="1">
      <alignment vertical="center"/>
      <protection hidden="1"/>
    </xf>
    <xf numFmtId="14" fontId="37" fillId="26" borderId="0" xfId="3" applyNumberFormat="1" applyFont="1" applyFill="1" applyBorder="1" applyAlignment="1" applyProtection="1">
      <alignment horizontal="left" vertical="center"/>
      <protection hidden="1"/>
    </xf>
    <xf numFmtId="0" fontId="33" fillId="33" borderId="0" xfId="3" applyFont="1" applyFill="1" applyBorder="1" applyAlignment="1">
      <alignment horizontal="left"/>
    </xf>
    <xf numFmtId="14" fontId="36" fillId="33" borderId="0" xfId="3" applyNumberFormat="1" applyFont="1" applyFill="1" applyBorder="1" applyAlignment="1">
      <alignment horizontal="center"/>
    </xf>
    <xf numFmtId="167" fontId="22" fillId="0" borderId="0" xfId="3" applyNumberFormat="1" applyFont="1" applyAlignment="1">
      <alignment horizontal="center"/>
    </xf>
    <xf numFmtId="0" fontId="22" fillId="0" borderId="0" xfId="0" applyFont="1" applyFill="1"/>
    <xf numFmtId="0" fontId="22" fillId="0" borderId="52" xfId="3" applyFont="1" applyFill="1" applyBorder="1" applyAlignment="1"/>
    <xf numFmtId="0" fontId="22" fillId="0" borderId="0" xfId="3" applyFont="1" applyBorder="1" applyAlignment="1"/>
    <xf numFmtId="2" fontId="22" fillId="0" borderId="51" xfId="3" applyNumberFormat="1" applyFont="1" applyFill="1" applyBorder="1"/>
    <xf numFmtId="2" fontId="22" fillId="0" borderId="52" xfId="3" applyNumberFormat="1" applyFont="1" applyFill="1" applyBorder="1"/>
    <xf numFmtId="167" fontId="22" fillId="0" borderId="51" xfId="3" applyNumberFormat="1" applyFont="1" applyFill="1" applyBorder="1"/>
    <xf numFmtId="0" fontId="22" fillId="0" borderId="0" xfId="3" applyFont="1" applyFill="1" applyBorder="1" applyAlignment="1"/>
    <xf numFmtId="167" fontId="22" fillId="0" borderId="0" xfId="3" applyNumberFormat="1" applyFont="1" applyFill="1" applyBorder="1"/>
    <xf numFmtId="169" fontId="24" fillId="33" borderId="0" xfId="3" applyNumberFormat="1" applyFont="1" applyFill="1" applyBorder="1"/>
    <xf numFmtId="0" fontId="22" fillId="33" borderId="0" xfId="3" applyFont="1" applyFill="1"/>
    <xf numFmtId="0" fontId="23" fillId="33" borderId="0" xfId="3" applyFont="1" applyFill="1" applyAlignment="1">
      <alignment horizontal="center"/>
    </xf>
    <xf numFmtId="167" fontId="30" fillId="0" borderId="0" xfId="0" applyNumberFormat="1" applyFont="1" applyFill="1" applyBorder="1" applyAlignment="1">
      <alignment horizontal="center"/>
    </xf>
    <xf numFmtId="0" fontId="22" fillId="0" borderId="0" xfId="884" applyFont="1"/>
    <xf numFmtId="0" fontId="30" fillId="0" borderId="0" xfId="0" applyFont="1" applyFill="1" applyBorder="1"/>
    <xf numFmtId="0" fontId="22" fillId="0" borderId="0" xfId="0" applyFont="1" applyFill="1" applyBorder="1"/>
    <xf numFmtId="168" fontId="22" fillId="0" borderId="0" xfId="0" applyNumberFormat="1" applyFont="1" applyFill="1" applyBorder="1"/>
    <xf numFmtId="0" fontId="22" fillId="0" borderId="0" xfId="4" applyFont="1"/>
    <xf numFmtId="167" fontId="22" fillId="0" borderId="0" xfId="4" applyNumberFormat="1" applyFont="1" applyAlignment="1">
      <alignment horizontal="center"/>
    </xf>
    <xf numFmtId="0" fontId="23" fillId="0" borderId="0" xfId="4" applyFont="1"/>
    <xf numFmtId="167" fontId="22" fillId="32" borderId="62" xfId="4" applyNumberFormat="1" applyFont="1" applyFill="1" applyBorder="1"/>
    <xf numFmtId="2" fontId="22" fillId="0" borderId="61" xfId="3" applyNumberFormat="1" applyFont="1" applyBorder="1"/>
    <xf numFmtId="2" fontId="22" fillId="0" borderId="51" xfId="3" applyNumberFormat="1" applyFont="1" applyBorder="1"/>
    <xf numFmtId="2" fontId="22" fillId="0" borderId="60" xfId="3" applyNumberFormat="1" applyFont="1" applyBorder="1"/>
    <xf numFmtId="167" fontId="22" fillId="0" borderId="0" xfId="0" applyNumberFormat="1" applyFont="1" applyFill="1" applyBorder="1" applyAlignment="1">
      <alignment horizontal="center"/>
    </xf>
    <xf numFmtId="1" fontId="22" fillId="0" borderId="0" xfId="0" applyNumberFormat="1" applyFont="1" applyFill="1" applyBorder="1" applyAlignment="1">
      <alignment horizontal="right"/>
    </xf>
    <xf numFmtId="0" fontId="30" fillId="0" borderId="0" xfId="3" applyFont="1" applyFill="1" applyBorder="1"/>
    <xf numFmtId="2" fontId="22" fillId="0" borderId="0" xfId="3" applyNumberFormat="1" applyFont="1"/>
    <xf numFmtId="0" fontId="158" fillId="0" borderId="0" xfId="4" applyFont="1"/>
    <xf numFmtId="0" fontId="158" fillId="0" borderId="0" xfId="4" applyFont="1" applyAlignment="1"/>
    <xf numFmtId="0" fontId="31" fillId="0" borderId="54" xfId="883" applyFont="1" applyBorder="1" applyAlignment="1">
      <alignment vertical="center"/>
    </xf>
    <xf numFmtId="0" fontId="31" fillId="0" borderId="56" xfId="883" applyFont="1" applyBorder="1" applyAlignment="1">
      <alignment vertical="center"/>
    </xf>
    <xf numFmtId="0" fontId="46" fillId="32" borderId="54" xfId="4" applyFont="1" applyFill="1" applyBorder="1" applyAlignment="1">
      <alignment horizontal="right"/>
    </xf>
    <xf numFmtId="0" fontId="46" fillId="32" borderId="23" xfId="4" applyFont="1" applyFill="1" applyBorder="1" applyAlignment="1">
      <alignment horizontal="right"/>
    </xf>
    <xf numFmtId="0" fontId="46" fillId="32" borderId="23" xfId="4" applyFont="1" applyFill="1" applyBorder="1" applyAlignment="1">
      <alignment horizontal="left"/>
    </xf>
    <xf numFmtId="0" fontId="46" fillId="32" borderId="55" xfId="4" applyFont="1" applyFill="1" applyBorder="1" applyAlignment="1">
      <alignment horizontal="left"/>
    </xf>
    <xf numFmtId="0" fontId="46" fillId="32" borderId="14" xfId="4" applyFont="1" applyFill="1" applyBorder="1" applyAlignment="1">
      <alignment horizontal="center"/>
    </xf>
    <xf numFmtId="0" fontId="9" fillId="0" borderId="0" xfId="858"/>
    <xf numFmtId="0" fontId="46" fillId="0" borderId="48" xfId="4" applyFont="1" applyBorder="1" applyAlignment="1">
      <alignment horizontal="center" vertical="top" wrapText="1"/>
    </xf>
    <xf numFmtId="3" fontId="46" fillId="0" borderId="48" xfId="4" applyNumberFormat="1" applyFont="1" applyBorder="1" applyAlignment="1">
      <alignment horizontal="center" vertical="top" wrapText="1"/>
    </xf>
    <xf numFmtId="0" fontId="46" fillId="0" borderId="49" xfId="4" applyFont="1" applyBorder="1" applyAlignment="1">
      <alignment horizontal="center"/>
    </xf>
    <xf numFmtId="3" fontId="46" fillId="0" borderId="49" xfId="4" applyNumberFormat="1" applyFont="1" applyBorder="1" applyAlignment="1">
      <alignment horizontal="center"/>
    </xf>
    <xf numFmtId="0" fontId="46" fillId="0" borderId="49" xfId="4" applyFont="1" applyBorder="1" applyAlignment="1">
      <alignment horizontal="center" wrapText="1"/>
    </xf>
    <xf numFmtId="3" fontId="0" fillId="32" borderId="14" xfId="4" applyNumberFormat="1" applyFont="1" applyFill="1" applyBorder="1" applyAlignment="1">
      <alignment horizontal="center"/>
    </xf>
    <xf numFmtId="3" fontId="0" fillId="0" borderId="14" xfId="4" applyNumberFormat="1" applyFont="1" applyBorder="1"/>
    <xf numFmtId="4" fontId="0" fillId="0" borderId="14" xfId="4" applyNumberFormat="1" applyFont="1" applyBorder="1"/>
    <xf numFmtId="177" fontId="0" fillId="0" borderId="14" xfId="4" applyNumberFormat="1" applyFont="1" applyBorder="1"/>
    <xf numFmtId="0" fontId="9" fillId="0" borderId="0" xfId="858" applyFont="1"/>
    <xf numFmtId="4" fontId="9" fillId="0" borderId="0" xfId="858" applyNumberFormat="1"/>
    <xf numFmtId="3" fontId="9" fillId="32" borderId="14" xfId="4" applyNumberFormat="1" applyFont="1" applyFill="1" applyBorder="1" applyAlignment="1">
      <alignment horizontal="center"/>
    </xf>
    <xf numFmtId="3" fontId="9" fillId="0" borderId="14" xfId="4" applyNumberFormat="1" applyFont="1" applyBorder="1"/>
    <xf numFmtId="4" fontId="9" fillId="0" borderId="14" xfId="4" applyNumberFormat="1" applyFont="1" applyBorder="1"/>
    <xf numFmtId="4" fontId="9" fillId="0" borderId="0" xfId="4" applyNumberFormat="1" applyFont="1" applyFill="1" applyBorder="1"/>
    <xf numFmtId="2" fontId="9" fillId="0" borderId="0" xfId="858" applyNumberFormat="1"/>
    <xf numFmtId="1" fontId="158" fillId="0" borderId="0" xfId="4" applyNumberFormat="1" applyFont="1"/>
    <xf numFmtId="167" fontId="32" fillId="0" borderId="49" xfId="883" applyNumberFormat="1" applyFont="1" applyBorder="1" applyAlignment="1">
      <alignment horizontal="center"/>
    </xf>
    <xf numFmtId="2" fontId="32" fillId="0" borderId="48" xfId="883" applyNumberFormat="1" applyFont="1" applyBorder="1" applyAlignment="1">
      <alignment horizontal="center" vertical="center"/>
    </xf>
    <xf numFmtId="169" fontId="24" fillId="0" borderId="0" xfId="4" applyNumberFormat="1" applyFont="1" applyFill="1" applyBorder="1"/>
    <xf numFmtId="0" fontId="22" fillId="0" borderId="61" xfId="4" applyFont="1" applyBorder="1"/>
    <xf numFmtId="0" fontId="22" fillId="0" borderId="51" xfId="4" applyFont="1" applyBorder="1"/>
    <xf numFmtId="0" fontId="22" fillId="0" borderId="60" xfId="4" applyFont="1" applyBorder="1"/>
    <xf numFmtId="2" fontId="32" fillId="0" borderId="58" xfId="883" applyNumberFormat="1" applyFont="1" applyBorder="1" applyAlignment="1">
      <alignment horizontal="center" vertical="center"/>
    </xf>
    <xf numFmtId="167" fontId="32" fillId="0" borderId="14" xfId="883" applyNumberFormat="1" applyFont="1" applyBorder="1" applyAlignment="1">
      <alignment horizontal="center" vertical="center"/>
    </xf>
    <xf numFmtId="177" fontId="9" fillId="0" borderId="0" xfId="858" applyNumberFormat="1"/>
    <xf numFmtId="0" fontId="39" fillId="26" borderId="0" xfId="0" applyFont="1" applyFill="1" applyAlignment="1" applyProtection="1">
      <alignment wrapText="1"/>
    </xf>
    <xf numFmtId="0" fontId="32" fillId="0" borderId="0" xfId="0" applyFont="1" applyBorder="1" applyAlignment="1">
      <alignment horizontal="left"/>
    </xf>
    <xf numFmtId="0" fontId="9" fillId="0" borderId="0" xfId="0" applyFont="1"/>
    <xf numFmtId="4" fontId="0" fillId="0" borderId="0" xfId="0" applyNumberFormat="1"/>
    <xf numFmtId="177" fontId="32" fillId="0" borderId="0" xfId="0" applyNumberFormat="1" applyFont="1" applyFill="1" applyBorder="1"/>
    <xf numFmtId="177" fontId="32" fillId="0" borderId="0" xfId="0" applyNumberFormat="1" applyFont="1" applyBorder="1"/>
    <xf numFmtId="167" fontId="22" fillId="0" borderId="0" xfId="4" applyNumberFormat="1" applyFont="1"/>
    <xf numFmtId="0" fontId="31" fillId="0" borderId="54" xfId="883" applyFont="1" applyBorder="1" applyAlignment="1">
      <alignment horizontal="center" vertical="center" wrapText="1"/>
    </xf>
    <xf numFmtId="0" fontId="31" fillId="0" borderId="14" xfId="883" applyFont="1" applyBorder="1" applyAlignment="1">
      <alignment horizontal="center" vertical="center" wrapText="1"/>
    </xf>
    <xf numFmtId="0" fontId="34" fillId="26" borderId="0" xfId="3" applyFont="1" applyFill="1"/>
    <xf numFmtId="0" fontId="35" fillId="0" borderId="0" xfId="3" applyFont="1" applyProtection="1"/>
    <xf numFmtId="0" fontId="35" fillId="0" borderId="0" xfId="3" applyFont="1" applyAlignment="1" applyProtection="1">
      <alignment horizontal="left" vertical="center"/>
    </xf>
    <xf numFmtId="0" fontId="35" fillId="26" borderId="0" xfId="3" applyFont="1" applyFill="1" applyBorder="1" applyAlignment="1" applyProtection="1">
      <protection hidden="1"/>
    </xf>
    <xf numFmtId="2" fontId="32" fillId="0" borderId="0" xfId="0" applyNumberFormat="1" applyFont="1"/>
    <xf numFmtId="0" fontId="22" fillId="0" borderId="51" xfId="4" applyFont="1" applyBorder="1" applyAlignment="1"/>
    <xf numFmtId="0" fontId="22" fillId="0" borderId="50" xfId="4" applyFont="1" applyBorder="1"/>
    <xf numFmtId="0" fontId="9" fillId="0" borderId="51" xfId="4" applyFont="1" applyBorder="1"/>
    <xf numFmtId="0" fontId="9" fillId="0" borderId="60" xfId="4" applyFont="1" applyBorder="1"/>
    <xf numFmtId="167" fontId="22" fillId="0" borderId="52" xfId="4" applyNumberFormat="1" applyFont="1" applyBorder="1"/>
    <xf numFmtId="0" fontId="23" fillId="59" borderId="62" xfId="4" applyFont="1" applyFill="1" applyBorder="1" applyAlignment="1">
      <alignment horizontal="center"/>
    </xf>
    <xf numFmtId="167" fontId="23" fillId="59" borderId="62" xfId="4" applyNumberFormat="1" applyFont="1" applyFill="1" applyBorder="1" applyAlignment="1">
      <alignment horizontal="center"/>
    </xf>
    <xf numFmtId="2" fontId="22" fillId="38" borderId="0" xfId="3" applyNumberFormat="1" applyFont="1" applyFill="1" applyBorder="1"/>
    <xf numFmtId="2" fontId="22" fillId="0" borderId="0" xfId="3" applyNumberFormat="1" applyFont="1" applyBorder="1"/>
    <xf numFmtId="0" fontId="22" fillId="0" borderId="52" xfId="4" applyFont="1" applyBorder="1"/>
    <xf numFmtId="167" fontId="25" fillId="32" borderId="0" xfId="4" applyNumberFormat="1" applyFont="1" applyFill="1"/>
    <xf numFmtId="2" fontId="22" fillId="32" borderId="51" xfId="5" applyNumberFormat="1" applyFont="1" applyFill="1" applyBorder="1"/>
    <xf numFmtId="2" fontId="22" fillId="32" borderId="63" xfId="5" applyNumberFormat="1" applyFont="1" applyFill="1" applyBorder="1"/>
    <xf numFmtId="2" fontId="22" fillId="32" borderId="60" xfId="5" applyNumberFormat="1" applyFont="1" applyFill="1" applyBorder="1"/>
    <xf numFmtId="2" fontId="22" fillId="32" borderId="64" xfId="5" applyNumberFormat="1" applyFont="1" applyFill="1" applyBorder="1"/>
    <xf numFmtId="2" fontId="22" fillId="32" borderId="61" xfId="5" applyNumberFormat="1" applyFont="1" applyFill="1" applyBorder="1"/>
    <xf numFmtId="2" fontId="22" fillId="32" borderId="65" xfId="5" applyNumberFormat="1" applyFont="1" applyFill="1" applyBorder="1"/>
    <xf numFmtId="15" fontId="25" fillId="32" borderId="0" xfId="5" applyNumberFormat="1" applyFont="1" applyFill="1"/>
    <xf numFmtId="167" fontId="22" fillId="32" borderId="50" xfId="5" applyNumberFormat="1" applyFont="1" applyFill="1" applyBorder="1"/>
    <xf numFmtId="167" fontId="22" fillId="32" borderId="52" xfId="5" applyNumberFormat="1" applyFont="1" applyFill="1" applyBorder="1"/>
    <xf numFmtId="0" fontId="24" fillId="0" borderId="0" xfId="882" applyFont="1" applyAlignment="1">
      <alignment horizontal="center" wrapText="1"/>
    </xf>
    <xf numFmtId="171" fontId="22" fillId="64" borderId="62" xfId="5" applyNumberFormat="1" applyFont="1" applyFill="1" applyBorder="1"/>
    <xf numFmtId="0" fontId="23" fillId="0" borderId="0" xfId="0" applyFont="1" applyFill="1" applyAlignment="1">
      <alignment wrapText="1"/>
    </xf>
    <xf numFmtId="0" fontId="23" fillId="0" borderId="0" xfId="3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167" fontId="23" fillId="0" borderId="0" xfId="3" applyNumberFormat="1" applyFont="1" applyFill="1" applyBorder="1" applyAlignment="1">
      <alignment horizontal="center" wrapText="1"/>
    </xf>
    <xf numFmtId="248" fontId="36" fillId="33" borderId="0" xfId="3" applyNumberFormat="1" applyFont="1" applyFill="1" applyBorder="1" applyAlignment="1">
      <alignment horizontal="center"/>
    </xf>
    <xf numFmtId="248" fontId="37" fillId="26" borderId="0" xfId="3" applyNumberFormat="1" applyFont="1" applyFill="1" applyBorder="1" applyAlignment="1" applyProtection="1">
      <alignment vertical="center"/>
      <protection hidden="1"/>
    </xf>
    <xf numFmtId="0" fontId="22" fillId="0" borderId="50" xfId="3" applyFont="1" applyBorder="1" applyAlignment="1"/>
    <xf numFmtId="2" fontId="22" fillId="38" borderId="50" xfId="3" applyNumberFormat="1" applyFont="1" applyFill="1" applyBorder="1"/>
    <xf numFmtId="167" fontId="22" fillId="0" borderId="50" xfId="3" applyNumberFormat="1" applyFont="1" applyBorder="1"/>
    <xf numFmtId="2" fontId="22" fillId="38" borderId="52" xfId="3" applyNumberFormat="1" applyFont="1" applyFill="1" applyBorder="1"/>
    <xf numFmtId="167" fontId="22" fillId="0" borderId="52" xfId="3" applyNumberFormat="1" applyFont="1" applyBorder="1"/>
    <xf numFmtId="0" fontId="22" fillId="60" borderId="0" xfId="0" applyFont="1" applyFill="1"/>
    <xf numFmtId="0" fontId="22" fillId="60" borderId="0" xfId="0" applyFont="1" applyFill="1" applyBorder="1"/>
    <xf numFmtId="167" fontId="22" fillId="60" borderId="0" xfId="0" applyNumberFormat="1" applyFont="1" applyFill="1" applyBorder="1" applyAlignment="1">
      <alignment horizontal="center"/>
    </xf>
    <xf numFmtId="168" fontId="22" fillId="60" borderId="0" xfId="0" applyNumberFormat="1" applyFont="1" applyFill="1" applyBorder="1"/>
    <xf numFmtId="167" fontId="22" fillId="64" borderId="0" xfId="881" applyNumberFormat="1" applyFont="1" applyFill="1"/>
    <xf numFmtId="17" fontId="22" fillId="0" borderId="0" xfId="881" applyNumberFormat="1" applyFont="1"/>
    <xf numFmtId="167" fontId="22" fillId="32" borderId="62" xfId="5" applyNumberFormat="1" applyFont="1" applyFill="1" applyBorder="1"/>
    <xf numFmtId="2" fontId="22" fillId="32" borderId="62" xfId="5" applyNumberFormat="1" applyFont="1" applyFill="1" applyBorder="1"/>
    <xf numFmtId="167" fontId="22" fillId="63" borderId="52" xfId="5" applyNumberFormat="1" applyFont="1" applyFill="1" applyBorder="1"/>
    <xf numFmtId="168" fontId="22" fillId="64" borderId="51" xfId="5" applyNumberFormat="1" applyFont="1" applyFill="1" applyBorder="1"/>
    <xf numFmtId="167" fontId="22" fillId="64" borderId="51" xfId="5" applyNumberFormat="1" applyFont="1" applyFill="1" applyBorder="1"/>
    <xf numFmtId="168" fontId="22" fillId="32" borderId="50" xfId="5" applyNumberFormat="1" applyFont="1" applyFill="1" applyBorder="1"/>
    <xf numFmtId="168" fontId="22" fillId="32" borderId="51" xfId="5" applyNumberFormat="1" applyFont="1" applyFill="1" applyBorder="1"/>
    <xf numFmtId="168" fontId="22" fillId="32" borderId="60" xfId="5" applyNumberFormat="1" applyFont="1" applyFill="1" applyBorder="1"/>
    <xf numFmtId="2" fontId="22" fillId="32" borderId="61" xfId="3" applyNumberFormat="1" applyFont="1" applyFill="1" applyBorder="1"/>
    <xf numFmtId="2" fontId="22" fillId="32" borderId="51" xfId="3" applyNumberFormat="1" applyFont="1" applyFill="1" applyBorder="1"/>
    <xf numFmtId="2" fontId="22" fillId="32" borderId="60" xfId="3" applyNumberFormat="1" applyFont="1" applyFill="1" applyBorder="1"/>
    <xf numFmtId="2" fontId="22" fillId="32" borderId="52" xfId="3" applyNumberFormat="1" applyFont="1" applyFill="1" applyBorder="1"/>
    <xf numFmtId="0" fontId="22" fillId="60" borderId="0" xfId="884" applyFont="1" applyFill="1"/>
    <xf numFmtId="0" fontId="22" fillId="0" borderId="14" xfId="0" applyFont="1" applyFill="1" applyBorder="1"/>
    <xf numFmtId="0" fontId="23" fillId="61" borderId="14" xfId="0" applyFont="1" applyFill="1" applyBorder="1" applyAlignment="1">
      <alignment wrapText="1"/>
    </xf>
    <xf numFmtId="168" fontId="23" fillId="60" borderId="0" xfId="0" applyNumberFormat="1" applyFont="1" applyFill="1" applyBorder="1" applyAlignment="1">
      <alignment wrapText="1"/>
    </xf>
    <xf numFmtId="0" fontId="23" fillId="0" borderId="0" xfId="0" applyFont="1" applyFill="1" applyBorder="1"/>
    <xf numFmtId="0" fontId="23" fillId="60" borderId="0" xfId="0" applyFont="1" applyFill="1" applyBorder="1" applyAlignment="1">
      <alignment wrapText="1"/>
    </xf>
    <xf numFmtId="2" fontId="22" fillId="63" borderId="52" xfId="5" applyNumberFormat="1" applyFont="1" applyFill="1" applyBorder="1"/>
    <xf numFmtId="167" fontId="22" fillId="64" borderId="52" xfId="5" applyNumberFormat="1" applyFont="1" applyFill="1" applyBorder="1"/>
    <xf numFmtId="0" fontId="0" fillId="0" borderId="51" xfId="3" applyFont="1" applyBorder="1"/>
    <xf numFmtId="2" fontId="22" fillId="38" borderId="7" xfId="3" applyNumberFormat="1" applyFont="1" applyFill="1" applyBorder="1"/>
    <xf numFmtId="169" fontId="160" fillId="0" borderId="0" xfId="881" applyNumberFormat="1" applyFont="1"/>
    <xf numFmtId="1" fontId="26" fillId="0" borderId="0" xfId="881" applyNumberFormat="1" applyFont="1"/>
    <xf numFmtId="1" fontId="26" fillId="0" borderId="0" xfId="881" applyNumberFormat="1" applyFont="1" applyAlignment="1">
      <alignment horizontal="right"/>
    </xf>
    <xf numFmtId="170" fontId="22" fillId="32" borderId="14" xfId="884" applyNumberFormat="1" applyFont="1" applyFill="1" applyBorder="1" applyAlignment="1">
      <alignment horizontal="center"/>
    </xf>
    <xf numFmtId="167" fontId="22" fillId="0" borderId="14" xfId="881" applyNumberFormat="1" applyFont="1" applyBorder="1"/>
    <xf numFmtId="169" fontId="26" fillId="0" borderId="14" xfId="881" applyNumberFormat="1" applyFont="1" applyBorder="1" applyAlignment="1">
      <alignment horizontal="right"/>
    </xf>
    <xf numFmtId="248" fontId="49" fillId="0" borderId="0" xfId="3" applyNumberFormat="1" applyFont="1" applyFill="1" applyAlignment="1" applyProtection="1">
      <alignment horizontal="center" vertical="center"/>
    </xf>
    <xf numFmtId="177" fontId="49" fillId="0" borderId="0" xfId="3" applyNumberFormat="1" applyFont="1" applyFill="1" applyAlignment="1" applyProtection="1">
      <alignment horizontal="center" vertical="center"/>
    </xf>
    <xf numFmtId="167" fontId="22" fillId="64" borderId="73" xfId="881" applyNumberFormat="1" applyFont="1" applyFill="1" applyBorder="1"/>
    <xf numFmtId="169" fontId="26" fillId="0" borderId="77" xfId="881" applyNumberFormat="1" applyFont="1" applyBorder="1"/>
    <xf numFmtId="169" fontId="26" fillId="0" borderId="78" xfId="881" applyNumberFormat="1" applyFont="1" applyBorder="1" applyAlignment="1">
      <alignment horizontal="right"/>
    </xf>
    <xf numFmtId="167" fontId="22" fillId="64" borderId="78" xfId="881" applyNumberFormat="1" applyFont="1" applyFill="1" applyBorder="1"/>
    <xf numFmtId="17" fontId="22" fillId="0" borderId="78" xfId="881" applyNumberFormat="1" applyFont="1" applyBorder="1"/>
    <xf numFmtId="0" fontId="1" fillId="0" borderId="79" xfId="881" applyBorder="1"/>
    <xf numFmtId="0" fontId="22" fillId="60" borderId="0" xfId="3" applyFont="1" applyFill="1" applyBorder="1"/>
    <xf numFmtId="0" fontId="30" fillId="60" borderId="0" xfId="0" applyFont="1" applyFill="1" applyBorder="1"/>
    <xf numFmtId="0" fontId="22" fillId="63" borderId="0" xfId="0" applyFont="1" applyFill="1"/>
    <xf numFmtId="169" fontId="26" fillId="0" borderId="72" xfId="881" applyNumberFormat="1" applyFont="1" applyBorder="1"/>
    <xf numFmtId="169" fontId="26" fillId="0" borderId="73" xfId="881" applyNumberFormat="1" applyFont="1" applyBorder="1" applyAlignment="1">
      <alignment horizontal="right"/>
    </xf>
    <xf numFmtId="17" fontId="22" fillId="0" borderId="73" xfId="881" applyNumberFormat="1" applyFont="1" applyBorder="1"/>
    <xf numFmtId="0" fontId="1" fillId="0" borderId="74" xfId="881" applyBorder="1"/>
    <xf numFmtId="169" fontId="26" fillId="0" borderId="75" xfId="881" applyNumberFormat="1" applyFont="1" applyBorder="1"/>
    <xf numFmtId="0" fontId="1" fillId="0" borderId="76" xfId="881" applyBorder="1"/>
    <xf numFmtId="2" fontId="22" fillId="38" borderId="51" xfId="5" applyNumberFormat="1" applyFont="1" applyFill="1" applyBorder="1"/>
    <xf numFmtId="0" fontId="31" fillId="33" borderId="70" xfId="883" applyFont="1" applyFill="1" applyBorder="1" applyAlignment="1">
      <alignment horizontal="center"/>
    </xf>
    <xf numFmtId="0" fontId="31" fillId="33" borderId="31" xfId="883" applyFont="1" applyFill="1" applyBorder="1" applyAlignment="1">
      <alignment horizontal="center"/>
    </xf>
    <xf numFmtId="0" fontId="31" fillId="33" borderId="71" xfId="883" applyFont="1" applyFill="1" applyBorder="1" applyAlignment="1">
      <alignment horizontal="center"/>
    </xf>
    <xf numFmtId="0" fontId="33" fillId="33" borderId="45" xfId="3" applyFont="1" applyFill="1" applyBorder="1" applyAlignment="1">
      <alignment horizontal="center"/>
    </xf>
    <xf numFmtId="0" fontId="33" fillId="33" borderId="5" xfId="3" applyFont="1" applyFill="1" applyBorder="1" applyAlignment="1">
      <alignment horizontal="center"/>
    </xf>
    <xf numFmtId="0" fontId="33" fillId="33" borderId="67" xfId="3" applyFont="1" applyFill="1" applyBorder="1" applyAlignment="1">
      <alignment horizontal="center"/>
    </xf>
    <xf numFmtId="168" fontId="31" fillId="0" borderId="54" xfId="883" applyNumberFormat="1" applyFont="1" applyBorder="1" applyAlignment="1">
      <alignment horizontal="center"/>
    </xf>
    <xf numFmtId="168" fontId="31" fillId="0" borderId="23" xfId="883" applyNumberFormat="1" applyFont="1" applyBorder="1" applyAlignment="1">
      <alignment horizontal="center"/>
    </xf>
    <xf numFmtId="168" fontId="31" fillId="0" borderId="55" xfId="883" applyNumberFormat="1" applyFont="1" applyBorder="1" applyAlignment="1">
      <alignment horizontal="center"/>
    </xf>
    <xf numFmtId="0" fontId="33" fillId="33" borderId="41" xfId="3" applyFont="1" applyFill="1" applyBorder="1" applyAlignment="1">
      <alignment horizontal="center"/>
    </xf>
    <xf numFmtId="0" fontId="33" fillId="33" borderId="0" xfId="3" applyFont="1" applyFill="1" applyBorder="1" applyAlignment="1">
      <alignment horizontal="center"/>
    </xf>
    <xf numFmtId="0" fontId="33" fillId="33" borderId="1" xfId="3" applyFont="1" applyFill="1" applyBorder="1" applyAlignment="1">
      <alignment horizontal="center"/>
    </xf>
    <xf numFmtId="0" fontId="33" fillId="33" borderId="3" xfId="3" applyFont="1" applyFill="1" applyBorder="1" applyAlignment="1">
      <alignment horizontal="center"/>
    </xf>
    <xf numFmtId="0" fontId="33" fillId="33" borderId="2" xfId="3" applyFont="1" applyFill="1" applyBorder="1" applyAlignment="1">
      <alignment horizontal="center"/>
    </xf>
    <xf numFmtId="0" fontId="33" fillId="33" borderId="69" xfId="3" applyFont="1" applyFill="1" applyBorder="1" applyAlignment="1">
      <alignment horizontal="center"/>
    </xf>
    <xf numFmtId="0" fontId="41" fillId="33" borderId="54" xfId="883" applyFont="1" applyFill="1" applyBorder="1" applyAlignment="1">
      <alignment horizontal="center"/>
    </xf>
    <xf numFmtId="0" fontId="41" fillId="33" borderId="23" xfId="883" applyFont="1" applyFill="1" applyBorder="1" applyAlignment="1">
      <alignment horizontal="center"/>
    </xf>
    <xf numFmtId="0" fontId="41" fillId="33" borderId="55" xfId="883" applyFont="1" applyFill="1" applyBorder="1" applyAlignment="1">
      <alignment horizontal="center"/>
    </xf>
    <xf numFmtId="0" fontId="31" fillId="0" borderId="54" xfId="883" applyFont="1" applyBorder="1" applyAlignment="1">
      <alignment horizontal="center"/>
    </xf>
    <xf numFmtId="0" fontId="31" fillId="0" borderId="23" xfId="883" applyFont="1" applyBorder="1" applyAlignment="1">
      <alignment horizontal="center"/>
    </xf>
    <xf numFmtId="0" fontId="31" fillId="0" borderId="55" xfId="883" applyFont="1" applyBorder="1" applyAlignment="1">
      <alignment horizontal="center"/>
    </xf>
    <xf numFmtId="0" fontId="33" fillId="33" borderId="41" xfId="3" applyFont="1" applyFill="1" applyBorder="1" applyAlignment="1">
      <alignment horizontal="right"/>
    </xf>
    <xf numFmtId="0" fontId="33" fillId="33" borderId="0" xfId="3" applyFont="1" applyFill="1" applyBorder="1" applyAlignment="1">
      <alignment horizontal="right"/>
    </xf>
    <xf numFmtId="0" fontId="41" fillId="33" borderId="54" xfId="3" applyFont="1" applyFill="1" applyBorder="1" applyAlignment="1" applyProtection="1">
      <alignment horizontal="center" vertical="center"/>
      <protection locked="0"/>
    </xf>
    <xf numFmtId="0" fontId="41" fillId="33" borderId="23" xfId="3" applyFont="1" applyFill="1" applyBorder="1" applyAlignment="1" applyProtection="1">
      <alignment horizontal="center" vertical="center"/>
      <protection locked="0"/>
    </xf>
    <xf numFmtId="0" fontId="41" fillId="33" borderId="55" xfId="3" applyFont="1" applyFill="1" applyBorder="1" applyAlignment="1" applyProtection="1">
      <alignment horizontal="center" vertical="center"/>
      <protection locked="0"/>
    </xf>
    <xf numFmtId="0" fontId="8" fillId="26" borderId="0" xfId="303" applyFill="1" applyAlignment="1" applyProtection="1">
      <alignment horizontal="justify" wrapText="1"/>
    </xf>
    <xf numFmtId="0" fontId="159" fillId="26" borderId="0" xfId="0" applyFont="1" applyFill="1" applyAlignment="1" applyProtection="1">
      <alignment horizontal="justify" wrapText="1"/>
    </xf>
    <xf numFmtId="0" fontId="39" fillId="26" borderId="0" xfId="0" applyFont="1" applyFill="1" applyAlignment="1" applyProtection="1">
      <alignment horizontal="justify" wrapText="1"/>
    </xf>
    <xf numFmtId="0" fontId="38" fillId="26" borderId="0" xfId="3" applyFont="1" applyFill="1" applyBorder="1" applyAlignment="1" applyProtection="1">
      <alignment horizontal="center" vertical="center"/>
      <protection hidden="1"/>
    </xf>
    <xf numFmtId="0" fontId="31" fillId="50" borderId="45" xfId="883" applyFont="1" applyFill="1" applyBorder="1" applyAlignment="1">
      <alignment horizontal="center" vertical="center" wrapText="1"/>
    </xf>
    <xf numFmtId="0" fontId="31" fillId="50" borderId="67" xfId="883" applyFont="1" applyFill="1" applyBorder="1" applyAlignment="1">
      <alignment horizontal="center" vertical="center" wrapText="1"/>
    </xf>
    <xf numFmtId="0" fontId="31" fillId="50" borderId="3" xfId="883" applyFont="1" applyFill="1" applyBorder="1" applyAlignment="1">
      <alignment horizontal="center" vertical="center" wrapText="1"/>
    </xf>
    <xf numFmtId="0" fontId="31" fillId="50" borderId="69" xfId="883" applyFont="1" applyFill="1" applyBorder="1" applyAlignment="1">
      <alignment horizontal="center" vertical="center" wrapText="1"/>
    </xf>
    <xf numFmtId="0" fontId="31" fillId="53" borderId="45" xfId="883" applyFont="1" applyFill="1" applyBorder="1" applyAlignment="1">
      <alignment horizontal="center" vertical="center"/>
    </xf>
    <xf numFmtId="0" fontId="31" fillId="53" borderId="5" xfId="883" applyFont="1" applyFill="1" applyBorder="1" applyAlignment="1">
      <alignment horizontal="center" vertical="center"/>
    </xf>
    <xf numFmtId="0" fontId="31" fillId="53" borderId="3" xfId="883" applyFont="1" applyFill="1" applyBorder="1" applyAlignment="1">
      <alignment horizontal="center" vertical="center"/>
    </xf>
    <xf numFmtId="0" fontId="31" fillId="53" borderId="2" xfId="883" applyFont="1" applyFill="1" applyBorder="1" applyAlignment="1">
      <alignment horizontal="center" vertical="center"/>
    </xf>
    <xf numFmtId="0" fontId="39" fillId="0" borderId="0" xfId="0" applyFont="1" applyAlignment="1" applyProtection="1"/>
    <xf numFmtId="0" fontId="31" fillId="0" borderId="66" xfId="883" applyFont="1" applyBorder="1" applyAlignment="1">
      <alignment horizontal="center" vertical="center"/>
    </xf>
    <xf numFmtId="0" fontId="31" fillId="0" borderId="67" xfId="883" applyFont="1" applyBorder="1" applyAlignment="1">
      <alignment horizontal="center" vertical="center"/>
    </xf>
    <xf numFmtId="0" fontId="31" fillId="0" borderId="68" xfId="883" applyFont="1" applyBorder="1" applyAlignment="1">
      <alignment horizontal="center" vertical="center"/>
    </xf>
    <xf numFmtId="0" fontId="31" fillId="0" borderId="69" xfId="883" applyFont="1" applyBorder="1" applyAlignment="1">
      <alignment horizontal="center" vertical="center"/>
    </xf>
    <xf numFmtId="0" fontId="31" fillId="38" borderId="45" xfId="883" applyFont="1" applyFill="1" applyBorder="1" applyAlignment="1">
      <alignment horizontal="center" vertical="center"/>
    </xf>
    <xf numFmtId="0" fontId="31" fillId="38" borderId="65" xfId="883" applyFont="1" applyFill="1" applyBorder="1" applyAlignment="1">
      <alignment horizontal="center" vertical="center"/>
    </xf>
    <xf numFmtId="0" fontId="31" fillId="38" borderId="3" xfId="883" applyFont="1" applyFill="1" applyBorder="1" applyAlignment="1">
      <alignment horizontal="center" vertical="center"/>
    </xf>
    <xf numFmtId="0" fontId="31" fillId="38" borderId="64" xfId="883" applyFont="1" applyFill="1" applyBorder="1" applyAlignment="1">
      <alignment horizontal="center" vertical="center"/>
    </xf>
    <xf numFmtId="0" fontId="31" fillId="62" borderId="45" xfId="883" applyFont="1" applyFill="1" applyBorder="1" applyAlignment="1">
      <alignment horizontal="center" vertical="center" wrapText="1"/>
    </xf>
    <xf numFmtId="0" fontId="31" fillId="62" borderId="67" xfId="883" applyFont="1" applyFill="1" applyBorder="1" applyAlignment="1">
      <alignment horizontal="center" vertical="center" wrapText="1"/>
    </xf>
    <xf numFmtId="0" fontId="31" fillId="62" borderId="3" xfId="883" applyFont="1" applyFill="1" applyBorder="1" applyAlignment="1">
      <alignment horizontal="center" vertical="center" wrapText="1"/>
    </xf>
    <xf numFmtId="0" fontId="31" fillId="62" borderId="69" xfId="883" applyFont="1" applyFill="1" applyBorder="1" applyAlignment="1">
      <alignment horizontal="center" vertical="center" wrapText="1"/>
    </xf>
    <xf numFmtId="0" fontId="46" fillId="0" borderId="48" xfId="4" applyFont="1" applyBorder="1" applyAlignment="1">
      <alignment horizontal="center" vertical="center" wrapText="1"/>
    </xf>
    <xf numFmtId="0" fontId="46" fillId="0" borderId="49" xfId="4" applyFont="1" applyBorder="1" applyAlignment="1">
      <alignment horizontal="center" vertical="center" wrapText="1"/>
    </xf>
    <xf numFmtId="169" fontId="26" fillId="0" borderId="0" xfId="881" applyNumberFormat="1" applyFont="1" applyBorder="1"/>
    <xf numFmtId="169" fontId="26" fillId="0" borderId="0" xfId="881" applyNumberFormat="1" applyFont="1" applyBorder="1" applyAlignment="1">
      <alignment horizontal="right"/>
    </xf>
    <xf numFmtId="167" fontId="22" fillId="64" borderId="0" xfId="881" applyNumberFormat="1" applyFont="1" applyFill="1" applyBorder="1"/>
    <xf numFmtId="17" fontId="22" fillId="0" borderId="0" xfId="881" applyNumberFormat="1" applyFont="1" applyBorder="1"/>
    <xf numFmtId="0" fontId="1" fillId="0" borderId="0" xfId="881" applyBorder="1"/>
  </cellXfs>
  <cellStyles count="1299">
    <cellStyle name="_x0013_" xfId="1" xr:uid="{00000000-0005-0000-0000-000000000000}"/>
    <cellStyle name="&quot;X&quot; MEN" xfId="2" xr:uid="{00000000-0005-0000-0000-000001000000}"/>
    <cellStyle name="%" xfId="3" xr:uid="{00000000-0005-0000-0000-000002000000}"/>
    <cellStyle name="% 2" xfId="4" xr:uid="{00000000-0005-0000-0000-000003000000}"/>
    <cellStyle name="% 2 2" xfId="5" xr:uid="{00000000-0005-0000-0000-000004000000}"/>
    <cellStyle name="% 3" xfId="6" xr:uid="{00000000-0005-0000-0000-000005000000}"/>
    <cellStyle name="% 3 2" xfId="7" xr:uid="{00000000-0005-0000-0000-000006000000}"/>
    <cellStyle name="% 3 3" xfId="8" xr:uid="{00000000-0005-0000-0000-000007000000}"/>
    <cellStyle name="% 4" xfId="9" xr:uid="{00000000-0005-0000-0000-000008000000}"/>
    <cellStyle name="% 5" xfId="10" xr:uid="{00000000-0005-0000-0000-000009000000}"/>
    <cellStyle name="%_AU 2411 2010" xfId="11" xr:uid="{00000000-0005-0000-0000-00000A000000}"/>
    <cellStyle name="%_Cambio" xfId="12" xr:uid="{00000000-0005-0000-0000-00000B000000}"/>
    <cellStyle name="%_Cambio 2" xfId="13" xr:uid="{00000000-0005-0000-0000-00000C000000}"/>
    <cellStyle name="%_Cartel4" xfId="14" xr:uid="{00000000-0005-0000-0000-00000D000000}"/>
    <cellStyle name="%_Cash flows book TIPS" xfId="15" xr:uid="{00000000-0005-0000-0000-00000E000000}"/>
    <cellStyle name="%_Cash flows book TIPS 2" xfId="16" xr:uid="{00000000-0005-0000-0000-00000F000000}"/>
    <cellStyle name="%_Cash flows book TIPS 2010" xfId="17" xr:uid="{00000000-0005-0000-0000-000010000000}"/>
    <cellStyle name="%_Cash flows book TIPS 2010 2" xfId="18" xr:uid="{00000000-0005-0000-0000-000011000000}"/>
    <cellStyle name="%_Finanziari" xfId="19" xr:uid="{00000000-0005-0000-0000-000012000000}"/>
    <cellStyle name="%_Fisico City-Gates" xfId="20" xr:uid="{00000000-0005-0000-0000-000013000000}"/>
    <cellStyle name="%_Forward Reuters" xfId="21" xr:uid="{00000000-0005-0000-0000-000014000000}"/>
    <cellStyle name="%_Forward Reuters 2" xfId="22" xr:uid="{00000000-0005-0000-0000-000015000000}"/>
    <cellStyle name="%_Fwd Underlyings 901" xfId="23" xr:uid="{00000000-0005-0000-0000-000016000000}"/>
    <cellStyle name="%_Fwd Underlyings 901 2" xfId="24" xr:uid="{00000000-0005-0000-0000-000017000000}"/>
    <cellStyle name="%_Fwd Underlyings Indexes" xfId="25" xr:uid="{00000000-0005-0000-0000-000018000000}"/>
    <cellStyle name="%_Fwd Underlyings Indexes 2" xfId="26" xr:uid="{00000000-0005-0000-0000-000019000000}"/>
    <cellStyle name="%_GRP - CCI" xfId="27" xr:uid="{00000000-0005-0000-0000-00001A000000}"/>
    <cellStyle name="%_GRP07" xfId="28" xr:uid="{00000000-0005-0000-0000-00001B000000}"/>
    <cellStyle name="%_GRP07 GOL0,1" xfId="29" xr:uid="{00000000-0005-0000-0000-00001C000000}"/>
    <cellStyle name="%_Input FUEL" xfId="30" xr:uid="{00000000-0005-0000-0000-00001D000000}"/>
    <cellStyle name="%_Input FUEL MOPUB" xfId="31" xr:uid="{00000000-0005-0000-0000-00001E000000}"/>
    <cellStyle name="%_Input FUEL Reuters" xfId="32" xr:uid="{00000000-0005-0000-0000-00001F000000}"/>
    <cellStyle name="%_IT REMIX VARIE" xfId="33" xr:uid="{00000000-0005-0000-0000-000020000000}"/>
    <cellStyle name="%_ITEC1711+1911" xfId="34" xr:uid="{00000000-0005-0000-0000-000021000000}"/>
    <cellStyle name="%_ITRemix" xfId="35" xr:uid="{00000000-0005-0000-0000-000022000000}"/>
    <cellStyle name="%_Mercato" xfId="36" xr:uid="{00000000-0005-0000-0000-000023000000}"/>
    <cellStyle name="%_Mercato 2" xfId="37" xr:uid="{00000000-0005-0000-0000-000024000000}"/>
    <cellStyle name="%_Quotes" xfId="38" xr:uid="{00000000-0005-0000-0000-000025000000}"/>
    <cellStyle name="%_Quotes 2" xfId="39" xr:uid="{00000000-0005-0000-0000-000026000000}"/>
    <cellStyle name="%_Quotes AEEl" xfId="40" xr:uid="{00000000-0005-0000-0000-000027000000}"/>
    <cellStyle name="%_Quotes AEEl 2" xfId="41" xr:uid="{00000000-0005-0000-0000-000028000000}"/>
    <cellStyle name="%_Riepilogo Modifica Tariffe 2011 confronti vs Bdg" xfId="42" xr:uid="{00000000-0005-0000-0000-000029000000}"/>
    <cellStyle name="%_Sheet1" xfId="43" xr:uid="{00000000-0005-0000-0000-00002A000000}"/>
    <cellStyle name="%_Sheet2" xfId="44" xr:uid="{00000000-0005-0000-0000-00002B000000}"/>
    <cellStyle name="%_Sheet3" xfId="45" xr:uid="{00000000-0005-0000-0000-00002C000000}"/>
    <cellStyle name="%_Sheet3 2" xfId="46" xr:uid="{00000000-0005-0000-0000-00002D000000}"/>
    <cellStyle name="%_Tracking" xfId="47" xr:uid="{00000000-0005-0000-0000-00002E000000}"/>
    <cellStyle name="_BG-tariffe 2011" xfId="48" xr:uid="{00000000-0005-0000-0000-00002F000000}"/>
    <cellStyle name="£ BP" xfId="49" xr:uid="{00000000-0005-0000-0000-000030000000}"/>
    <cellStyle name="¥ JY" xfId="50" xr:uid="{00000000-0005-0000-0000-000031000000}"/>
    <cellStyle name="=C:\WINNT35\SYSTEM32\COMMAND.COM" xfId="51" xr:uid="{00000000-0005-0000-0000-000032000000}"/>
    <cellStyle name="1" xfId="52" xr:uid="{00000000-0005-0000-0000-000033000000}"/>
    <cellStyle name="1_AU 2411 2010" xfId="53" xr:uid="{00000000-0005-0000-0000-000034000000}"/>
    <cellStyle name="1_Forward Reuters" xfId="54" xr:uid="{00000000-0005-0000-0000-000035000000}"/>
    <cellStyle name="1_Fwd Underlyings 901" xfId="55" xr:uid="{00000000-0005-0000-0000-000036000000}"/>
    <cellStyle name="1_Fwd Underlyings Indexes" xfId="56" xr:uid="{00000000-0005-0000-0000-000037000000}"/>
    <cellStyle name="1_German betas" xfId="57" xr:uid="{00000000-0005-0000-0000-000038000000}"/>
    <cellStyle name="1_German betas_AU 2411 2010" xfId="58" xr:uid="{00000000-0005-0000-0000-000039000000}"/>
    <cellStyle name="1_German betas_Forward Reuters" xfId="59" xr:uid="{00000000-0005-0000-0000-00003A000000}"/>
    <cellStyle name="1_German betas_Fwd Underlyings 901" xfId="60" xr:uid="{00000000-0005-0000-0000-00003B000000}"/>
    <cellStyle name="1_German betas_Fwd Underlyings Indexes" xfId="61" xr:uid="{00000000-0005-0000-0000-00003C000000}"/>
    <cellStyle name="1_German betas_Input FUEL" xfId="62" xr:uid="{00000000-0005-0000-0000-00003D000000}"/>
    <cellStyle name="1_German betas_Input FUEL MOPUB" xfId="63" xr:uid="{00000000-0005-0000-0000-00003E000000}"/>
    <cellStyle name="1_German betas_Input FUEL Reuters" xfId="64" xr:uid="{00000000-0005-0000-0000-00003F000000}"/>
    <cellStyle name="1_German betas_IT REMIX VARIE" xfId="65" xr:uid="{00000000-0005-0000-0000-000040000000}"/>
    <cellStyle name="1_German betas_ITEC1711+1911" xfId="66" xr:uid="{00000000-0005-0000-0000-000041000000}"/>
    <cellStyle name="1_German betas_ITRemix" xfId="67" xr:uid="{00000000-0005-0000-0000-000042000000}"/>
    <cellStyle name="1_German betas_ITremix 0312" xfId="68" xr:uid="{00000000-0005-0000-0000-000043000000}"/>
    <cellStyle name="1_German betas_Quotes" xfId="69" xr:uid="{00000000-0005-0000-0000-000044000000}"/>
    <cellStyle name="1_German betas_Quotes AEEl" xfId="70" xr:uid="{00000000-0005-0000-0000-000045000000}"/>
    <cellStyle name="1_German betas_Real Time Quotes rolling - CRMv1" xfId="71" xr:uid="{00000000-0005-0000-0000-000046000000}"/>
    <cellStyle name="1_German betas_Sheet3" xfId="72" xr:uid="{00000000-0005-0000-0000-000047000000}"/>
    <cellStyle name="1_Input FUEL" xfId="73" xr:uid="{00000000-0005-0000-0000-000048000000}"/>
    <cellStyle name="1_Input FUEL MOPUB" xfId="74" xr:uid="{00000000-0005-0000-0000-000049000000}"/>
    <cellStyle name="1_Input FUEL Reuters" xfId="75" xr:uid="{00000000-0005-0000-0000-00004A000000}"/>
    <cellStyle name="1_IT REMIX VARIE" xfId="76" xr:uid="{00000000-0005-0000-0000-00004B000000}"/>
    <cellStyle name="1_ITEC1711+1911" xfId="77" xr:uid="{00000000-0005-0000-0000-00004C000000}"/>
    <cellStyle name="1_ITRemix" xfId="78" xr:uid="{00000000-0005-0000-0000-00004D000000}"/>
    <cellStyle name="1_ITremix 0312" xfId="79" xr:uid="{00000000-0005-0000-0000-00004E000000}"/>
    <cellStyle name="1_Quotes" xfId="80" xr:uid="{00000000-0005-0000-0000-00004F000000}"/>
    <cellStyle name="1_Quotes AEEl" xfId="81" xr:uid="{00000000-0005-0000-0000-000050000000}"/>
    <cellStyle name="1_Real Time Quotes rolling - CRMv1" xfId="82" xr:uid="{00000000-0005-0000-0000-000051000000}"/>
    <cellStyle name="1_Sheet3" xfId="83" xr:uid="{00000000-0005-0000-0000-000052000000}"/>
    <cellStyle name="20% - Accent1" xfId="84" xr:uid="{00000000-0005-0000-0000-000053000000}"/>
    <cellStyle name="20% - Accent1 2" xfId="85" xr:uid="{00000000-0005-0000-0000-000054000000}"/>
    <cellStyle name="20% - Accent1 3" xfId="86" xr:uid="{00000000-0005-0000-0000-000055000000}"/>
    <cellStyle name="20% - Accent1 4" xfId="87" xr:uid="{00000000-0005-0000-0000-000056000000}"/>
    <cellStyle name="20% - Accent2" xfId="88" xr:uid="{00000000-0005-0000-0000-000057000000}"/>
    <cellStyle name="20% - Accent2 2" xfId="89" xr:uid="{00000000-0005-0000-0000-000058000000}"/>
    <cellStyle name="20% - Accent2 3" xfId="90" xr:uid="{00000000-0005-0000-0000-000059000000}"/>
    <cellStyle name="20% - Accent2 4" xfId="91" xr:uid="{00000000-0005-0000-0000-00005A000000}"/>
    <cellStyle name="20% - Accent3" xfId="92" xr:uid="{00000000-0005-0000-0000-00005B000000}"/>
    <cellStyle name="20% - Accent3 2" xfId="93" xr:uid="{00000000-0005-0000-0000-00005C000000}"/>
    <cellStyle name="20% - Accent3 3" xfId="94" xr:uid="{00000000-0005-0000-0000-00005D000000}"/>
    <cellStyle name="20% - Accent3 4" xfId="95" xr:uid="{00000000-0005-0000-0000-00005E000000}"/>
    <cellStyle name="20% - Accent4" xfId="96" xr:uid="{00000000-0005-0000-0000-00005F000000}"/>
    <cellStyle name="20% - Accent4 2" xfId="97" xr:uid="{00000000-0005-0000-0000-000060000000}"/>
    <cellStyle name="20% - Accent4 3" xfId="98" xr:uid="{00000000-0005-0000-0000-000061000000}"/>
    <cellStyle name="20% - Accent4 4" xfId="99" xr:uid="{00000000-0005-0000-0000-000062000000}"/>
    <cellStyle name="20% - Accent5" xfId="100" xr:uid="{00000000-0005-0000-0000-000063000000}"/>
    <cellStyle name="20% - Accent5 2" xfId="101" xr:uid="{00000000-0005-0000-0000-000064000000}"/>
    <cellStyle name="20% - Accent5 3" xfId="102" xr:uid="{00000000-0005-0000-0000-000065000000}"/>
    <cellStyle name="20% - Accent5 4" xfId="103" xr:uid="{00000000-0005-0000-0000-000066000000}"/>
    <cellStyle name="20% - Accent6" xfId="104" xr:uid="{00000000-0005-0000-0000-000067000000}"/>
    <cellStyle name="20% - Accent6 2" xfId="105" xr:uid="{00000000-0005-0000-0000-000068000000}"/>
    <cellStyle name="20% - Accent6 3" xfId="106" xr:uid="{00000000-0005-0000-0000-000069000000}"/>
    <cellStyle name="20% - Accent6 4" xfId="107" xr:uid="{00000000-0005-0000-0000-00006A000000}"/>
    <cellStyle name="20% - Colore 1" xfId="108" builtinId="30" customBuiltin="1"/>
    <cellStyle name="20% - Colore 1 2" xfId="109" xr:uid="{00000000-0005-0000-0000-00006C000000}"/>
    <cellStyle name="20% - Colore 1 2 2" xfId="110" xr:uid="{00000000-0005-0000-0000-00006D000000}"/>
    <cellStyle name="20% - Colore 1 2 3" xfId="111" xr:uid="{00000000-0005-0000-0000-00006E000000}"/>
    <cellStyle name="20% - Colore 2" xfId="112" builtinId="34" customBuiltin="1"/>
    <cellStyle name="20% - Colore 2 2" xfId="113" xr:uid="{00000000-0005-0000-0000-000070000000}"/>
    <cellStyle name="20% - Colore 2 2 2" xfId="114" xr:uid="{00000000-0005-0000-0000-000071000000}"/>
    <cellStyle name="20% - Colore 2 2 3" xfId="115" xr:uid="{00000000-0005-0000-0000-000072000000}"/>
    <cellStyle name="20% - Colore 3" xfId="116" builtinId="38" customBuiltin="1"/>
    <cellStyle name="20% - Colore 3 2" xfId="117" xr:uid="{00000000-0005-0000-0000-000074000000}"/>
    <cellStyle name="20% - Colore 3 2 2" xfId="118" xr:uid="{00000000-0005-0000-0000-000075000000}"/>
    <cellStyle name="20% - Colore 3 2 3" xfId="119" xr:uid="{00000000-0005-0000-0000-000076000000}"/>
    <cellStyle name="20% - Colore 4" xfId="120" builtinId="42" customBuiltin="1"/>
    <cellStyle name="20% - Colore 4 2" xfId="121" xr:uid="{00000000-0005-0000-0000-000078000000}"/>
    <cellStyle name="20% - Colore 4 2 2" xfId="122" xr:uid="{00000000-0005-0000-0000-000079000000}"/>
    <cellStyle name="20% - Colore 4 2 3" xfId="123" xr:uid="{00000000-0005-0000-0000-00007A000000}"/>
    <cellStyle name="20% - Colore 5" xfId="124" builtinId="46" customBuiltin="1"/>
    <cellStyle name="20% - Colore 5 2" xfId="125" xr:uid="{00000000-0005-0000-0000-00007C000000}"/>
    <cellStyle name="20% - Colore 5 2 2" xfId="126" xr:uid="{00000000-0005-0000-0000-00007D000000}"/>
    <cellStyle name="20% - Colore 6" xfId="127" builtinId="50" customBuiltin="1"/>
    <cellStyle name="20% - Colore 6 2" xfId="128" xr:uid="{00000000-0005-0000-0000-00007F000000}"/>
    <cellStyle name="20% - Colore 6 2 2" xfId="129" xr:uid="{00000000-0005-0000-0000-000080000000}"/>
    <cellStyle name="20% - Colore 6 2 3" xfId="130" xr:uid="{00000000-0005-0000-0000-000081000000}"/>
    <cellStyle name="40% - Accent1" xfId="131" xr:uid="{00000000-0005-0000-0000-000082000000}"/>
    <cellStyle name="40% - Accent1 2" xfId="132" xr:uid="{00000000-0005-0000-0000-000083000000}"/>
    <cellStyle name="40% - Accent1 3" xfId="133" xr:uid="{00000000-0005-0000-0000-000084000000}"/>
    <cellStyle name="40% - Accent1 4" xfId="134" xr:uid="{00000000-0005-0000-0000-000085000000}"/>
    <cellStyle name="40% - Accent2" xfId="135" xr:uid="{00000000-0005-0000-0000-000086000000}"/>
    <cellStyle name="40% - Accent2 2" xfId="136" xr:uid="{00000000-0005-0000-0000-000087000000}"/>
    <cellStyle name="40% - Accent2 3" xfId="137" xr:uid="{00000000-0005-0000-0000-000088000000}"/>
    <cellStyle name="40% - Accent2 4" xfId="138" xr:uid="{00000000-0005-0000-0000-000089000000}"/>
    <cellStyle name="40% - Accent3" xfId="139" xr:uid="{00000000-0005-0000-0000-00008A000000}"/>
    <cellStyle name="40% - Accent3 2" xfId="140" xr:uid="{00000000-0005-0000-0000-00008B000000}"/>
    <cellStyle name="40% - Accent3 3" xfId="141" xr:uid="{00000000-0005-0000-0000-00008C000000}"/>
    <cellStyle name="40% - Accent3 4" xfId="142" xr:uid="{00000000-0005-0000-0000-00008D000000}"/>
    <cellStyle name="40% - Accent4" xfId="143" xr:uid="{00000000-0005-0000-0000-00008E000000}"/>
    <cellStyle name="40% - Accent4 2" xfId="144" xr:uid="{00000000-0005-0000-0000-00008F000000}"/>
    <cellStyle name="40% - Accent4 3" xfId="145" xr:uid="{00000000-0005-0000-0000-000090000000}"/>
    <cellStyle name="40% - Accent4 4" xfId="146" xr:uid="{00000000-0005-0000-0000-000091000000}"/>
    <cellStyle name="40% - Accent5" xfId="147" xr:uid="{00000000-0005-0000-0000-000092000000}"/>
    <cellStyle name="40% - Accent5 2" xfId="148" xr:uid="{00000000-0005-0000-0000-000093000000}"/>
    <cellStyle name="40% - Accent5 3" xfId="149" xr:uid="{00000000-0005-0000-0000-000094000000}"/>
    <cellStyle name="40% - Accent5 4" xfId="150" xr:uid="{00000000-0005-0000-0000-000095000000}"/>
    <cellStyle name="40% - Accent6" xfId="151" xr:uid="{00000000-0005-0000-0000-000096000000}"/>
    <cellStyle name="40% - Accent6 2" xfId="152" xr:uid="{00000000-0005-0000-0000-000097000000}"/>
    <cellStyle name="40% - Accent6 3" xfId="153" xr:uid="{00000000-0005-0000-0000-000098000000}"/>
    <cellStyle name="40% - Accent6 4" xfId="154" xr:uid="{00000000-0005-0000-0000-000099000000}"/>
    <cellStyle name="40% - Colore 1" xfId="155" builtinId="31" customBuiltin="1"/>
    <cellStyle name="40% - Colore 1 2" xfId="156" xr:uid="{00000000-0005-0000-0000-00009B000000}"/>
    <cellStyle name="40% - Colore 1 2 2" xfId="157" xr:uid="{00000000-0005-0000-0000-00009C000000}"/>
    <cellStyle name="40% - Colore 1 2 3" xfId="158" xr:uid="{00000000-0005-0000-0000-00009D000000}"/>
    <cellStyle name="40% - Colore 2" xfId="159" builtinId="35" customBuiltin="1"/>
    <cellStyle name="40% - Colore 2 2" xfId="160" xr:uid="{00000000-0005-0000-0000-00009F000000}"/>
    <cellStyle name="40% - Colore 2 2 2" xfId="161" xr:uid="{00000000-0005-0000-0000-0000A0000000}"/>
    <cellStyle name="40% - Colore 3" xfId="162" builtinId="39" customBuiltin="1"/>
    <cellStyle name="40% - Colore 3 2" xfId="163" xr:uid="{00000000-0005-0000-0000-0000A2000000}"/>
    <cellStyle name="40% - Colore 3 2 2" xfId="164" xr:uid="{00000000-0005-0000-0000-0000A3000000}"/>
    <cellStyle name="40% - Colore 3 2 3" xfId="165" xr:uid="{00000000-0005-0000-0000-0000A4000000}"/>
    <cellStyle name="40% - Colore 4" xfId="166" builtinId="43" customBuiltin="1"/>
    <cellStyle name="40% - Colore 4 2" xfId="167" xr:uid="{00000000-0005-0000-0000-0000A6000000}"/>
    <cellStyle name="40% - Colore 4 2 2" xfId="168" xr:uid="{00000000-0005-0000-0000-0000A7000000}"/>
    <cellStyle name="40% - Colore 4 2 3" xfId="169" xr:uid="{00000000-0005-0000-0000-0000A8000000}"/>
    <cellStyle name="40% - Colore 5" xfId="170" builtinId="47" customBuiltin="1"/>
    <cellStyle name="40% - Colore 5 2" xfId="171" xr:uid="{00000000-0005-0000-0000-0000AA000000}"/>
    <cellStyle name="40% - Colore 5 2 2" xfId="172" xr:uid="{00000000-0005-0000-0000-0000AB000000}"/>
    <cellStyle name="40% - Colore 6" xfId="173" builtinId="51" customBuiltin="1"/>
    <cellStyle name="40% - Colore 6 2" xfId="174" xr:uid="{00000000-0005-0000-0000-0000AD000000}"/>
    <cellStyle name="40% - Colore 6 2 2" xfId="175" xr:uid="{00000000-0005-0000-0000-0000AE000000}"/>
    <cellStyle name="40% - Colore 6 2 3" xfId="176" xr:uid="{00000000-0005-0000-0000-0000AF000000}"/>
    <cellStyle name="4025-363" xfId="177" xr:uid="{00000000-0005-0000-0000-0000B0000000}"/>
    <cellStyle name="60% - Accent1" xfId="178" xr:uid="{00000000-0005-0000-0000-0000B1000000}"/>
    <cellStyle name="60% - Accent1 2" xfId="179" xr:uid="{00000000-0005-0000-0000-0000B2000000}"/>
    <cellStyle name="60% - Accent1 3" xfId="180" xr:uid="{00000000-0005-0000-0000-0000B3000000}"/>
    <cellStyle name="60% - Accent2" xfId="181" xr:uid="{00000000-0005-0000-0000-0000B4000000}"/>
    <cellStyle name="60% - Accent2 2" xfId="182" xr:uid="{00000000-0005-0000-0000-0000B5000000}"/>
    <cellStyle name="60% - Accent2 3" xfId="183" xr:uid="{00000000-0005-0000-0000-0000B6000000}"/>
    <cellStyle name="60% - Accent3" xfId="184" xr:uid="{00000000-0005-0000-0000-0000B7000000}"/>
    <cellStyle name="60% - Accent3 2" xfId="185" xr:uid="{00000000-0005-0000-0000-0000B8000000}"/>
    <cellStyle name="60% - Accent3 3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5" xfId="190" xr:uid="{00000000-0005-0000-0000-0000BD000000}"/>
    <cellStyle name="60% - Accent5 2" xfId="191" xr:uid="{00000000-0005-0000-0000-0000BE000000}"/>
    <cellStyle name="60% - Accent5 3" xfId="192" xr:uid="{00000000-0005-0000-0000-0000BF000000}"/>
    <cellStyle name="60% - Accent6" xfId="193" xr:uid="{00000000-0005-0000-0000-0000C0000000}"/>
    <cellStyle name="60% - Accent6 2" xfId="194" xr:uid="{00000000-0005-0000-0000-0000C1000000}"/>
    <cellStyle name="60% - Accent6 3" xfId="195" xr:uid="{00000000-0005-0000-0000-0000C2000000}"/>
    <cellStyle name="60% - Colore 1" xfId="196" builtinId="32" customBuiltin="1"/>
    <cellStyle name="60% - Colore 1 2" xfId="197" xr:uid="{00000000-0005-0000-0000-0000C4000000}"/>
    <cellStyle name="60% - Colore 1 2 2" xfId="198" xr:uid="{00000000-0005-0000-0000-0000C5000000}"/>
    <cellStyle name="60% - Colore 2" xfId="199" builtinId="36" customBuiltin="1"/>
    <cellStyle name="60% - Colore 2 2" xfId="200" xr:uid="{00000000-0005-0000-0000-0000C7000000}"/>
    <cellStyle name="60% - Colore 3" xfId="201" builtinId="40" customBuiltin="1"/>
    <cellStyle name="60% - Colore 3 2" xfId="202" xr:uid="{00000000-0005-0000-0000-0000C9000000}"/>
    <cellStyle name="60% - Colore 3 2 2" xfId="203" xr:uid="{00000000-0005-0000-0000-0000CA000000}"/>
    <cellStyle name="60% - Colore 4" xfId="204" builtinId="44" customBuiltin="1"/>
    <cellStyle name="60% - Colore 4 2" xfId="205" xr:uid="{00000000-0005-0000-0000-0000CC000000}"/>
    <cellStyle name="60% - Colore 4 2 2" xfId="206" xr:uid="{00000000-0005-0000-0000-0000CD000000}"/>
    <cellStyle name="60% - Colore 5" xfId="207" builtinId="48" customBuiltin="1"/>
    <cellStyle name="60% - Colore 5 2" xfId="208" xr:uid="{00000000-0005-0000-0000-0000CF000000}"/>
    <cellStyle name="60% - Colore 6" xfId="209" builtinId="52" customBuiltin="1"/>
    <cellStyle name="60% - Colore 6 2" xfId="210" xr:uid="{00000000-0005-0000-0000-0000D1000000}"/>
    <cellStyle name="60% - Colore 6 2 2" xfId="211" xr:uid="{00000000-0005-0000-0000-0000D2000000}"/>
    <cellStyle name="Accent1" xfId="212" xr:uid="{00000000-0005-0000-0000-0000D3000000}"/>
    <cellStyle name="Accent1 2" xfId="213" xr:uid="{00000000-0005-0000-0000-0000D4000000}"/>
    <cellStyle name="Accent1 3" xfId="214" xr:uid="{00000000-0005-0000-0000-0000D5000000}"/>
    <cellStyle name="Accent2" xfId="215" xr:uid="{00000000-0005-0000-0000-0000D6000000}"/>
    <cellStyle name="Accent2 2" xfId="216" xr:uid="{00000000-0005-0000-0000-0000D7000000}"/>
    <cellStyle name="Accent2 3" xfId="217" xr:uid="{00000000-0005-0000-0000-0000D8000000}"/>
    <cellStyle name="Accent3" xfId="218" xr:uid="{00000000-0005-0000-0000-0000D9000000}"/>
    <cellStyle name="Accent3 2" xfId="219" xr:uid="{00000000-0005-0000-0000-0000DA000000}"/>
    <cellStyle name="Accent3 3" xfId="220" xr:uid="{00000000-0005-0000-0000-0000DB000000}"/>
    <cellStyle name="Accent4" xfId="221" xr:uid="{00000000-0005-0000-0000-0000DC000000}"/>
    <cellStyle name="Accent4 2" xfId="222" xr:uid="{00000000-0005-0000-0000-0000DD000000}"/>
    <cellStyle name="Accent4 3" xfId="223" xr:uid="{00000000-0005-0000-0000-0000DE000000}"/>
    <cellStyle name="Accent5" xfId="224" xr:uid="{00000000-0005-0000-0000-0000DF000000}"/>
    <cellStyle name="Accent5 2" xfId="225" xr:uid="{00000000-0005-0000-0000-0000E0000000}"/>
    <cellStyle name="Accent5 3" xfId="226" xr:uid="{00000000-0005-0000-0000-0000E1000000}"/>
    <cellStyle name="Accent6" xfId="227" xr:uid="{00000000-0005-0000-0000-0000E2000000}"/>
    <cellStyle name="Accent6 2" xfId="228" xr:uid="{00000000-0005-0000-0000-0000E3000000}"/>
    <cellStyle name="Accent6 3" xfId="229" xr:uid="{00000000-0005-0000-0000-0000E4000000}"/>
    <cellStyle name="Add" xfId="230" xr:uid="{00000000-0005-0000-0000-0000E5000000}"/>
    <cellStyle name="adj_share" xfId="231" xr:uid="{00000000-0005-0000-0000-0000E6000000}"/>
    <cellStyle name="Adjusted" xfId="232" xr:uid="{00000000-0005-0000-0000-0000E7000000}"/>
    <cellStyle name="Adjusted 2" xfId="233" xr:uid="{00000000-0005-0000-0000-0000E8000000}"/>
    <cellStyle name="Adjusted 3" xfId="234" xr:uid="{00000000-0005-0000-0000-0000E9000000}"/>
    <cellStyle name="Afjusted" xfId="235" xr:uid="{00000000-0005-0000-0000-0000EA000000}"/>
    <cellStyle name="Afjusted 2" xfId="236" xr:uid="{00000000-0005-0000-0000-0000EB000000}"/>
    <cellStyle name="Afjusted 3" xfId="237" xr:uid="{00000000-0005-0000-0000-0000EC000000}"/>
    <cellStyle name="Albacom" xfId="238" xr:uid="{00000000-0005-0000-0000-0000ED000000}"/>
    <cellStyle name="Alex" xfId="239" xr:uid="{00000000-0005-0000-0000-0000EE000000}"/>
    <cellStyle name="b" xfId="240" xr:uid="{00000000-0005-0000-0000-0000EF000000}"/>
    <cellStyle name="Background" xfId="241" xr:uid="{00000000-0005-0000-0000-0000F0000000}"/>
    <cellStyle name="Background 2" xfId="242" xr:uid="{00000000-0005-0000-0000-0000F1000000}"/>
    <cellStyle name="Bad" xfId="243" xr:uid="{00000000-0005-0000-0000-0000F2000000}"/>
    <cellStyle name="Bad 2" xfId="244" xr:uid="{00000000-0005-0000-0000-0000F3000000}"/>
    <cellStyle name="Bad 3" xfId="245" xr:uid="{00000000-0005-0000-0000-0000F4000000}"/>
    <cellStyle name="Basis points" xfId="246" xr:uid="{00000000-0005-0000-0000-0000F5000000}"/>
    <cellStyle name="Bloccato" xfId="247" xr:uid="{00000000-0005-0000-0000-0000F6000000}"/>
    <cellStyle name="Bloccato 2" xfId="248" xr:uid="{00000000-0005-0000-0000-0000F7000000}"/>
    <cellStyle name="BLU" xfId="249" xr:uid="{00000000-0005-0000-0000-0000F8000000}"/>
    <cellStyle name="body01" xfId="250" xr:uid="{00000000-0005-0000-0000-0000F9000000}"/>
    <cellStyle name="body02" xfId="251" xr:uid="{00000000-0005-0000-0000-0000FA000000}"/>
    <cellStyle name="Bold/Border" xfId="252" xr:uid="{00000000-0005-0000-0000-0000FB000000}"/>
    <cellStyle name="Bold/Border 2" xfId="253" xr:uid="{00000000-0005-0000-0000-0000FC000000}"/>
    <cellStyle name="Bold/Border 3" xfId="254" xr:uid="{00000000-0005-0000-0000-0000FD000000}"/>
    <cellStyle name="Border Heavy" xfId="255" xr:uid="{00000000-0005-0000-0000-0000FE000000}"/>
    <cellStyle name="Border Heavy 2" xfId="256" xr:uid="{00000000-0005-0000-0000-0000FF000000}"/>
    <cellStyle name="Border Thin" xfId="257" xr:uid="{00000000-0005-0000-0000-000000010000}"/>
    <cellStyle name="Border Thin 2" xfId="258" xr:uid="{00000000-0005-0000-0000-000001010000}"/>
    <cellStyle name="bordino" xfId="259" xr:uid="{00000000-0005-0000-0000-000002010000}"/>
    <cellStyle name="Bullet" xfId="260" xr:uid="{00000000-0005-0000-0000-000003010000}"/>
    <cellStyle name="CALC Amount" xfId="261" xr:uid="{00000000-0005-0000-0000-000004010000}"/>
    <cellStyle name="Calc Currency (2)" xfId="262" xr:uid="{00000000-0005-0000-0000-000005010000}"/>
    <cellStyle name="Calc Currency (2) 2" xfId="263" xr:uid="{00000000-0005-0000-0000-000006010000}"/>
    <cellStyle name="Calc Currency (2)_Tabella INPUT" xfId="264" xr:uid="{00000000-0005-0000-0000-000007010000}"/>
    <cellStyle name="Calc Percent (0)" xfId="265" xr:uid="{00000000-0005-0000-0000-000008010000}"/>
    <cellStyle name="Calc Percent (0) 2" xfId="266" xr:uid="{00000000-0005-0000-0000-000009010000}"/>
    <cellStyle name="Calc Percent (0)_Tabella INPUT" xfId="267" xr:uid="{00000000-0005-0000-0000-00000A010000}"/>
    <cellStyle name="Calc Percent (1)" xfId="268" xr:uid="{00000000-0005-0000-0000-00000B010000}"/>
    <cellStyle name="Calc Percent (1) 2" xfId="269" xr:uid="{00000000-0005-0000-0000-00000C010000}"/>
    <cellStyle name="Calc Percent (1)_Tabella INPUT" xfId="270" xr:uid="{00000000-0005-0000-0000-00000D010000}"/>
    <cellStyle name="Calc Percent (2)" xfId="271" xr:uid="{00000000-0005-0000-0000-00000E010000}"/>
    <cellStyle name="Calc Percent (2) 2" xfId="272" xr:uid="{00000000-0005-0000-0000-00000F010000}"/>
    <cellStyle name="Calc Percent (2)_Tabella INPUT" xfId="273" xr:uid="{00000000-0005-0000-0000-000010010000}"/>
    <cellStyle name="Calc Units (0)" xfId="274" xr:uid="{00000000-0005-0000-0000-000011010000}"/>
    <cellStyle name="Calc Units (0) 2" xfId="275" xr:uid="{00000000-0005-0000-0000-000012010000}"/>
    <cellStyle name="Calc Units (0)_Tabella INPUT" xfId="276" xr:uid="{00000000-0005-0000-0000-000013010000}"/>
    <cellStyle name="Calc Units (1)" xfId="277" xr:uid="{00000000-0005-0000-0000-000014010000}"/>
    <cellStyle name="Calc Units (1) 2" xfId="278" xr:uid="{00000000-0005-0000-0000-000015010000}"/>
    <cellStyle name="Calc Units (1)_Tabella INPUT" xfId="279" xr:uid="{00000000-0005-0000-0000-000016010000}"/>
    <cellStyle name="Calc Units (2)" xfId="280" xr:uid="{00000000-0005-0000-0000-000017010000}"/>
    <cellStyle name="Calc Units (2) 2" xfId="281" xr:uid="{00000000-0005-0000-0000-000018010000}"/>
    <cellStyle name="Calc Units (2)_Tabella INPUT" xfId="282" xr:uid="{00000000-0005-0000-0000-000019010000}"/>
    <cellStyle name="Calcolo" xfId="283" builtinId="22" customBuiltin="1"/>
    <cellStyle name="Calcolo 2" xfId="284" xr:uid="{00000000-0005-0000-0000-00001B010000}"/>
    <cellStyle name="Calcolo 2 2" xfId="285" xr:uid="{00000000-0005-0000-0000-00001C010000}"/>
    <cellStyle name="Calculation" xfId="286" xr:uid="{00000000-0005-0000-0000-00001D010000}"/>
    <cellStyle name="Calculation 2" xfId="287" xr:uid="{00000000-0005-0000-0000-00001E010000}"/>
    <cellStyle name="Calculation 3" xfId="288" xr:uid="{00000000-0005-0000-0000-00001F010000}"/>
    <cellStyle name="Cella collegata" xfId="289" builtinId="24" customBuiltin="1"/>
    <cellStyle name="Cella collegata 2" xfId="290" xr:uid="{00000000-0005-0000-0000-000021010000}"/>
    <cellStyle name="Cella da controllare" xfId="291" builtinId="23" customBuiltin="1"/>
    <cellStyle name="Cella da controllare 2" xfId="292" xr:uid="{00000000-0005-0000-0000-000023010000}"/>
    <cellStyle name="Celle" xfId="293" xr:uid="{00000000-0005-0000-0000-000024010000}"/>
    <cellStyle name="Cents" xfId="294" xr:uid="{00000000-0005-0000-0000-000025010000}"/>
    <cellStyle name="Cents (0.0)" xfId="295" xr:uid="{00000000-0005-0000-0000-000026010000}"/>
    <cellStyle name="Cents_SEIMA05" xfId="296" xr:uid="{00000000-0005-0000-0000-000027010000}"/>
    <cellStyle name="Check Cell" xfId="297" xr:uid="{00000000-0005-0000-0000-000028010000}"/>
    <cellStyle name="Check Cell 2" xfId="298" xr:uid="{00000000-0005-0000-0000-000029010000}"/>
    <cellStyle name="Check Cell 3" xfId="299" xr:uid="{00000000-0005-0000-0000-00002A010000}"/>
    <cellStyle name="CHF" xfId="300" xr:uid="{00000000-0005-0000-0000-00002B010000}"/>
    <cellStyle name="CHF 2" xfId="301" xr:uid="{00000000-0005-0000-0000-00002C010000}"/>
    <cellStyle name="ColHead" xfId="302" xr:uid="{00000000-0005-0000-0000-00002D010000}"/>
    <cellStyle name="Collegamento ipertestuale" xfId="303" builtinId="8"/>
    <cellStyle name="Collegamento ipertestuale 2" xfId="304" xr:uid="{00000000-0005-0000-0000-00002F010000}"/>
    <cellStyle name="Colore 1" xfId="305" builtinId="29" customBuiltin="1"/>
    <cellStyle name="Colore 1 2" xfId="306" xr:uid="{00000000-0005-0000-0000-000031010000}"/>
    <cellStyle name="Colore 1 2 2" xfId="307" xr:uid="{00000000-0005-0000-0000-000032010000}"/>
    <cellStyle name="Colore 2" xfId="308" builtinId="33" customBuiltin="1"/>
    <cellStyle name="Colore 2 2" xfId="309" xr:uid="{00000000-0005-0000-0000-000034010000}"/>
    <cellStyle name="Colore 3" xfId="310" builtinId="37" customBuiltin="1"/>
    <cellStyle name="Colore 3 2" xfId="311" xr:uid="{00000000-0005-0000-0000-000036010000}"/>
    <cellStyle name="Colore 4" xfId="312" builtinId="41" customBuiltin="1"/>
    <cellStyle name="Colore 4 2" xfId="313" xr:uid="{00000000-0005-0000-0000-000038010000}"/>
    <cellStyle name="Colore 4 2 2" xfId="314" xr:uid="{00000000-0005-0000-0000-000039010000}"/>
    <cellStyle name="Colore 5" xfId="315" builtinId="45" customBuiltin="1"/>
    <cellStyle name="Colore 5 2" xfId="316" xr:uid="{00000000-0005-0000-0000-00003B010000}"/>
    <cellStyle name="Colore 6" xfId="317" builtinId="49" customBuiltin="1"/>
    <cellStyle name="Colore 6 2" xfId="318" xr:uid="{00000000-0005-0000-0000-00003D010000}"/>
    <cellStyle name="Comma  - Style1" xfId="319" xr:uid="{00000000-0005-0000-0000-00003E010000}"/>
    <cellStyle name="Comma  - Style2" xfId="320" xr:uid="{00000000-0005-0000-0000-00003F010000}"/>
    <cellStyle name="Comma  - Style3" xfId="321" xr:uid="{00000000-0005-0000-0000-000040010000}"/>
    <cellStyle name="Comma  - Style4" xfId="322" xr:uid="{00000000-0005-0000-0000-000041010000}"/>
    <cellStyle name="Comma  - Style5" xfId="323" xr:uid="{00000000-0005-0000-0000-000042010000}"/>
    <cellStyle name="Comma  - Style6" xfId="324" xr:uid="{00000000-0005-0000-0000-000043010000}"/>
    <cellStyle name="Comma  - Style7" xfId="325" xr:uid="{00000000-0005-0000-0000-000044010000}"/>
    <cellStyle name="Comma  - Style8" xfId="326" xr:uid="{00000000-0005-0000-0000-000045010000}"/>
    <cellStyle name="Comma (1)" xfId="327" xr:uid="{00000000-0005-0000-0000-000046010000}"/>
    <cellStyle name="Comma [0]_1995" xfId="328" xr:uid="{00000000-0005-0000-0000-000047010000}"/>
    <cellStyle name="Comma [00]" xfId="329" xr:uid="{00000000-0005-0000-0000-000048010000}"/>
    <cellStyle name="Comma [00] 2" xfId="330" xr:uid="{00000000-0005-0000-0000-000049010000}"/>
    <cellStyle name="Comma [1]" xfId="331" xr:uid="{00000000-0005-0000-0000-00004A010000}"/>
    <cellStyle name="Comma [2]" xfId="332" xr:uid="{00000000-0005-0000-0000-00004B010000}"/>
    <cellStyle name="Comma [3]" xfId="333" xr:uid="{00000000-0005-0000-0000-00004C010000}"/>
    <cellStyle name="Comma 0" xfId="334" xr:uid="{00000000-0005-0000-0000-00004D010000}"/>
    <cellStyle name="Comma 0 2" xfId="335" xr:uid="{00000000-0005-0000-0000-00004E010000}"/>
    <cellStyle name="Comma 0 3" xfId="336" xr:uid="{00000000-0005-0000-0000-00004F010000}"/>
    <cellStyle name="Comma 0*" xfId="337" xr:uid="{00000000-0005-0000-0000-000050010000}"/>
    <cellStyle name="Comma 0* 2" xfId="338" xr:uid="{00000000-0005-0000-0000-000051010000}"/>
    <cellStyle name="Comma 0* 3" xfId="339" xr:uid="{00000000-0005-0000-0000-000052010000}"/>
    <cellStyle name="Comma 2" xfId="340" xr:uid="{00000000-0005-0000-0000-000053010000}"/>
    <cellStyle name="Comma 2 2" xfId="341" xr:uid="{00000000-0005-0000-0000-000054010000}"/>
    <cellStyle name="Comma 2 3" xfId="342" xr:uid="{00000000-0005-0000-0000-000055010000}"/>
    <cellStyle name="Comma_1995" xfId="343" xr:uid="{00000000-0005-0000-0000-000056010000}"/>
    <cellStyle name="CoordinateCell" xfId="344" xr:uid="{00000000-0005-0000-0000-000057010000}"/>
    <cellStyle name="Currency" xfId="345" xr:uid="{00000000-0005-0000-0000-000058010000}"/>
    <cellStyle name="Currency (0.00)" xfId="346" xr:uid="{00000000-0005-0000-0000-000059010000}"/>
    <cellStyle name="Currency (0.00) 2" xfId="347" xr:uid="{00000000-0005-0000-0000-00005A010000}"/>
    <cellStyle name="Currency (0.00)_Tabella INPUT" xfId="348" xr:uid="{00000000-0005-0000-0000-00005B010000}"/>
    <cellStyle name="Currency [0]_1995" xfId="349" xr:uid="{00000000-0005-0000-0000-00005C010000}"/>
    <cellStyle name="Currency [00]" xfId="350" xr:uid="{00000000-0005-0000-0000-00005D010000}"/>
    <cellStyle name="Currency [00] 2" xfId="351" xr:uid="{00000000-0005-0000-0000-00005E010000}"/>
    <cellStyle name="Currency 0" xfId="352" xr:uid="{00000000-0005-0000-0000-00005F010000}"/>
    <cellStyle name="Currency 0 2" xfId="353" xr:uid="{00000000-0005-0000-0000-000060010000}"/>
    <cellStyle name="Currency 0 3" xfId="354" xr:uid="{00000000-0005-0000-0000-000061010000}"/>
    <cellStyle name="Currency 2" xfId="355" xr:uid="{00000000-0005-0000-0000-000062010000}"/>
    <cellStyle name="Currency 2 2" xfId="356" xr:uid="{00000000-0005-0000-0000-000063010000}"/>
    <cellStyle name="Currency 2 3" xfId="357" xr:uid="{00000000-0005-0000-0000-000064010000}"/>
    <cellStyle name="Currency_1995" xfId="358" xr:uid="{00000000-0005-0000-0000-000065010000}"/>
    <cellStyle name="CurveCaptionCell" xfId="359" xr:uid="{00000000-0005-0000-0000-000066010000}"/>
    <cellStyle name="CurveMetaDataCell" xfId="360" xr:uid="{00000000-0005-0000-0000-000067010000}"/>
    <cellStyle name="darren" xfId="361" xr:uid="{00000000-0005-0000-0000-000068010000}"/>
    <cellStyle name="Dash" xfId="362" xr:uid="{00000000-0005-0000-0000-000069010000}"/>
    <cellStyle name="Data_0dp" xfId="363" xr:uid="{00000000-0005-0000-0000-00006A010000}"/>
    <cellStyle name="DataCell" xfId="364" xr:uid="{00000000-0005-0000-0000-00006B010000}"/>
    <cellStyle name="Date" xfId="365" xr:uid="{00000000-0005-0000-0000-00006C010000}"/>
    <cellStyle name="Date Aligned" xfId="366" xr:uid="{00000000-0005-0000-0000-00006D010000}"/>
    <cellStyle name="Date Aligned 2" xfId="367" xr:uid="{00000000-0005-0000-0000-00006E010000}"/>
    <cellStyle name="Date Aligned 3" xfId="368" xr:uid="{00000000-0005-0000-0000-00006F010000}"/>
    <cellStyle name="Date Short" xfId="369" xr:uid="{00000000-0005-0000-0000-000070010000}"/>
    <cellStyle name="DB Model Standard" xfId="370" xr:uid="{00000000-0005-0000-0000-000071010000}"/>
    <cellStyle name="DB Standard" xfId="371" xr:uid="{00000000-0005-0000-0000-000072010000}"/>
    <cellStyle name="Delta (0)" xfId="372" xr:uid="{00000000-0005-0000-0000-000073010000}"/>
    <cellStyle name="Delta (0,0)" xfId="373" xr:uid="{00000000-0005-0000-0000-000074010000}"/>
    <cellStyle name="Delta (0,00)" xfId="374" xr:uid="{00000000-0005-0000-0000-000075010000}"/>
    <cellStyle name="Derive" xfId="375" xr:uid="{00000000-0005-0000-0000-000076010000}"/>
    <cellStyle name="Dezimal [0]_~0027840" xfId="376" xr:uid="{00000000-0005-0000-0000-000077010000}"/>
    <cellStyle name="Dezimal_99_alone_dec" xfId="377" xr:uid="{00000000-0005-0000-0000-000078010000}"/>
    <cellStyle name="Dollar" xfId="378" xr:uid="{00000000-0005-0000-0000-000079010000}"/>
    <cellStyle name="Dotted Line" xfId="379" xr:uid="{00000000-0005-0000-0000-00007A010000}"/>
    <cellStyle name="Dotted Line 2" xfId="380" xr:uid="{00000000-0005-0000-0000-00007B010000}"/>
    <cellStyle name="Dotted Line 3" xfId="381" xr:uid="{00000000-0005-0000-0000-00007C010000}"/>
    <cellStyle name="Enter Currency (0)" xfId="382" xr:uid="{00000000-0005-0000-0000-00007D010000}"/>
    <cellStyle name="Enter Currency (0) 2" xfId="383" xr:uid="{00000000-0005-0000-0000-00007E010000}"/>
    <cellStyle name="Enter Currency (0)_Tabella INPUT" xfId="384" xr:uid="{00000000-0005-0000-0000-00007F010000}"/>
    <cellStyle name="Enter Currency (2)" xfId="385" xr:uid="{00000000-0005-0000-0000-000080010000}"/>
    <cellStyle name="Enter Currency (2) 2" xfId="386" xr:uid="{00000000-0005-0000-0000-000081010000}"/>
    <cellStyle name="Enter Currency (2)_Tabella INPUT" xfId="387" xr:uid="{00000000-0005-0000-0000-000082010000}"/>
    <cellStyle name="Enter Units (0)" xfId="388" xr:uid="{00000000-0005-0000-0000-000083010000}"/>
    <cellStyle name="Enter Units (0) 2" xfId="389" xr:uid="{00000000-0005-0000-0000-000084010000}"/>
    <cellStyle name="Enter Units (0)_Tabella INPUT" xfId="390" xr:uid="{00000000-0005-0000-0000-000085010000}"/>
    <cellStyle name="Enter Units (1)" xfId="391" xr:uid="{00000000-0005-0000-0000-000086010000}"/>
    <cellStyle name="Enter Units (1) 2" xfId="392" xr:uid="{00000000-0005-0000-0000-000087010000}"/>
    <cellStyle name="Enter Units (1)_Tabella INPUT" xfId="393" xr:uid="{00000000-0005-0000-0000-000088010000}"/>
    <cellStyle name="Enter Units (2)" xfId="394" xr:uid="{00000000-0005-0000-0000-000089010000}"/>
    <cellStyle name="Enter Units (2) 2" xfId="395" xr:uid="{00000000-0005-0000-0000-00008A010000}"/>
    <cellStyle name="Enter Units (2)_Tabella INPUT" xfId="396" xr:uid="{00000000-0005-0000-0000-00008B010000}"/>
    <cellStyle name="ErrorCell" xfId="397" xr:uid="{00000000-0005-0000-0000-00008C010000}"/>
    <cellStyle name="ErrorHeader" xfId="398" xr:uid="{00000000-0005-0000-0000-00008D010000}"/>
    <cellStyle name="Euro" xfId="399" xr:uid="{00000000-0005-0000-0000-00008E010000}"/>
    <cellStyle name="Euro 2" xfId="400" xr:uid="{00000000-0005-0000-0000-00008F010000}"/>
    <cellStyle name="Euro 2 2" xfId="401" xr:uid="{00000000-0005-0000-0000-000090010000}"/>
    <cellStyle name="Euro 3" xfId="402" xr:uid="{00000000-0005-0000-0000-000091010000}"/>
    <cellStyle name="Euro 3 2" xfId="403" xr:uid="{00000000-0005-0000-0000-000092010000}"/>
    <cellStyle name="Euro 4" xfId="404" xr:uid="{00000000-0005-0000-0000-000093010000}"/>
    <cellStyle name="Euro 5" xfId="405" xr:uid="{00000000-0005-0000-0000-000094010000}"/>
    <cellStyle name="Euro 6" xfId="406" xr:uid="{00000000-0005-0000-0000-000095010000}"/>
    <cellStyle name="Euro 7" xfId="407" xr:uid="{00000000-0005-0000-0000-000096010000}"/>
    <cellStyle name="Explanatory Text" xfId="408" xr:uid="{00000000-0005-0000-0000-000097010000}"/>
    <cellStyle name="Explanatory Text 2" xfId="409" xr:uid="{00000000-0005-0000-0000-000098010000}"/>
    <cellStyle name="Explanatory Text 3" xfId="410" xr:uid="{00000000-0005-0000-0000-000099010000}"/>
    <cellStyle name="F_date" xfId="411" xr:uid="{00000000-0005-0000-0000-00009A010000}"/>
    <cellStyle name="F_date_AU 2411 2010" xfId="412" xr:uid="{00000000-0005-0000-0000-00009B010000}"/>
    <cellStyle name="F_date_Forward Reuters" xfId="413" xr:uid="{00000000-0005-0000-0000-00009C010000}"/>
    <cellStyle name="F_date_Fwd Underlyings 901" xfId="414" xr:uid="{00000000-0005-0000-0000-00009D010000}"/>
    <cellStyle name="F_date_Fwd Underlyings Indexes" xfId="415" xr:uid="{00000000-0005-0000-0000-00009E010000}"/>
    <cellStyle name="F_date_Input FUEL" xfId="416" xr:uid="{00000000-0005-0000-0000-00009F010000}"/>
    <cellStyle name="F_date_Input FUEL MOPUB" xfId="417" xr:uid="{00000000-0005-0000-0000-0000A0010000}"/>
    <cellStyle name="F_date_Input FUEL Reuters" xfId="418" xr:uid="{00000000-0005-0000-0000-0000A1010000}"/>
    <cellStyle name="F_date_IT REMIX VARIE" xfId="419" xr:uid="{00000000-0005-0000-0000-0000A2010000}"/>
    <cellStyle name="F_date_ITEC1711+1911" xfId="420" xr:uid="{00000000-0005-0000-0000-0000A3010000}"/>
    <cellStyle name="F_date_ITRemix" xfId="421" xr:uid="{00000000-0005-0000-0000-0000A4010000}"/>
    <cellStyle name="F_date_ITremix 0312" xfId="422" xr:uid="{00000000-0005-0000-0000-0000A5010000}"/>
    <cellStyle name="F_date_Previsioni AEP 2010-2011" xfId="423" xr:uid="{00000000-0005-0000-0000-0000A6010000}"/>
    <cellStyle name="F_date_Quotes" xfId="424" xr:uid="{00000000-0005-0000-0000-0000A7010000}"/>
    <cellStyle name="F_date_Quotes AEEl" xfId="425" xr:uid="{00000000-0005-0000-0000-0000A8010000}"/>
    <cellStyle name="F_date_Real Time Quotes rolling - CRMv1" xfId="426" xr:uid="{00000000-0005-0000-0000-0000A9010000}"/>
    <cellStyle name="F_date_Sheet3" xfId="427" xr:uid="{00000000-0005-0000-0000-0000AA010000}"/>
    <cellStyle name="F_date_time" xfId="428" xr:uid="{00000000-0005-0000-0000-0000AB010000}"/>
    <cellStyle name="F_date_time_AU 2411 2010" xfId="429" xr:uid="{00000000-0005-0000-0000-0000AC010000}"/>
    <cellStyle name="F_date_time_Forward Reuters" xfId="430" xr:uid="{00000000-0005-0000-0000-0000AD010000}"/>
    <cellStyle name="F_date_time_Fwd Underlyings 901" xfId="431" xr:uid="{00000000-0005-0000-0000-0000AE010000}"/>
    <cellStyle name="F_date_time_Fwd Underlyings Indexes" xfId="432" xr:uid="{00000000-0005-0000-0000-0000AF010000}"/>
    <cellStyle name="F_date_time_Input FUEL" xfId="433" xr:uid="{00000000-0005-0000-0000-0000B0010000}"/>
    <cellStyle name="F_date_time_Input FUEL MOPUB" xfId="434" xr:uid="{00000000-0005-0000-0000-0000B1010000}"/>
    <cellStyle name="F_date_time_Input FUEL Reuters" xfId="435" xr:uid="{00000000-0005-0000-0000-0000B2010000}"/>
    <cellStyle name="F_date_time_IT REMIX VARIE" xfId="436" xr:uid="{00000000-0005-0000-0000-0000B3010000}"/>
    <cellStyle name="F_date_time_ITEC1711+1911" xfId="437" xr:uid="{00000000-0005-0000-0000-0000B4010000}"/>
    <cellStyle name="F_date_time_ITRemix" xfId="438" xr:uid="{00000000-0005-0000-0000-0000B5010000}"/>
    <cellStyle name="F_date_time_ITremix 0312" xfId="439" xr:uid="{00000000-0005-0000-0000-0000B6010000}"/>
    <cellStyle name="F_date_time_Previsioni AEP 2010-2011" xfId="440" xr:uid="{00000000-0005-0000-0000-0000B7010000}"/>
    <cellStyle name="F_date_time_Quotes" xfId="441" xr:uid="{00000000-0005-0000-0000-0000B8010000}"/>
    <cellStyle name="F_date_time_Quotes AEEl" xfId="442" xr:uid="{00000000-0005-0000-0000-0000B9010000}"/>
    <cellStyle name="F_date_time_Real Time Quotes rolling - CRMv1" xfId="443" xr:uid="{00000000-0005-0000-0000-0000BA010000}"/>
    <cellStyle name="F_date_time_Sheet3" xfId="444" xr:uid="{00000000-0005-0000-0000-0000BB010000}"/>
    <cellStyle name="F_time" xfId="445" xr:uid="{00000000-0005-0000-0000-0000BC010000}"/>
    <cellStyle name="F_time_AU 2411 2010" xfId="446" xr:uid="{00000000-0005-0000-0000-0000BD010000}"/>
    <cellStyle name="F_time_Forward Reuters" xfId="447" xr:uid="{00000000-0005-0000-0000-0000BE010000}"/>
    <cellStyle name="F_time_Fwd Underlyings 901" xfId="448" xr:uid="{00000000-0005-0000-0000-0000BF010000}"/>
    <cellStyle name="F_time_Fwd Underlyings Indexes" xfId="449" xr:uid="{00000000-0005-0000-0000-0000C0010000}"/>
    <cellStyle name="F_time_Input FUEL" xfId="450" xr:uid="{00000000-0005-0000-0000-0000C1010000}"/>
    <cellStyle name="F_time_Input FUEL MOPUB" xfId="451" xr:uid="{00000000-0005-0000-0000-0000C2010000}"/>
    <cellStyle name="F_time_Input FUEL Reuters" xfId="452" xr:uid="{00000000-0005-0000-0000-0000C3010000}"/>
    <cellStyle name="F_time_IT REMIX VARIE" xfId="453" xr:uid="{00000000-0005-0000-0000-0000C4010000}"/>
    <cellStyle name="F_time_ITEC1711+1911" xfId="454" xr:uid="{00000000-0005-0000-0000-0000C5010000}"/>
    <cellStyle name="F_time_ITRemix" xfId="455" xr:uid="{00000000-0005-0000-0000-0000C6010000}"/>
    <cellStyle name="F_time_ITremix 0312" xfId="456" xr:uid="{00000000-0005-0000-0000-0000C7010000}"/>
    <cellStyle name="F_time_Previsioni AEP 2010-2011" xfId="457" xr:uid="{00000000-0005-0000-0000-0000C8010000}"/>
    <cellStyle name="F_time_Quotes" xfId="458" xr:uid="{00000000-0005-0000-0000-0000C9010000}"/>
    <cellStyle name="F_time_Quotes AEEl" xfId="459" xr:uid="{00000000-0005-0000-0000-0000CA010000}"/>
    <cellStyle name="F_time_Real Time Quotes rolling - CRMv1" xfId="460" xr:uid="{00000000-0005-0000-0000-0000CB010000}"/>
    <cellStyle name="F_time_Sheet3" xfId="461" xr:uid="{00000000-0005-0000-0000-0000CC010000}"/>
    <cellStyle name="Followed Hyperlink" xfId="462" xr:uid="{00000000-0005-0000-0000-0000CD010000}"/>
    <cellStyle name="Footnote" xfId="463" xr:uid="{00000000-0005-0000-0000-0000CE010000}"/>
    <cellStyle name="Footnote 2" xfId="464" xr:uid="{00000000-0005-0000-0000-0000CF010000}"/>
    <cellStyle name="Footnote 3" xfId="465" xr:uid="{00000000-0005-0000-0000-0000D0010000}"/>
    <cellStyle name="Forecast" xfId="466" xr:uid="{00000000-0005-0000-0000-0000D1010000}"/>
    <cellStyle name="Formule" xfId="467" xr:uid="{00000000-0005-0000-0000-0000D2010000}"/>
    <cellStyle name="Gevolgde hyperlink" xfId="468" xr:uid="{00000000-0005-0000-0000-0000D3010000}"/>
    <cellStyle name="giallino" xfId="469" xr:uid="{00000000-0005-0000-0000-0000D4010000}"/>
    <cellStyle name="Good" xfId="470" xr:uid="{00000000-0005-0000-0000-0000D5010000}"/>
    <cellStyle name="Good 2" xfId="471" xr:uid="{00000000-0005-0000-0000-0000D6010000}"/>
    <cellStyle name="Good 3" xfId="472" xr:uid="{00000000-0005-0000-0000-0000D7010000}"/>
    <cellStyle name="Grey" xfId="473" xr:uid="{00000000-0005-0000-0000-0000D8010000}"/>
    <cellStyle name="Grey 2" xfId="474" xr:uid="{00000000-0005-0000-0000-0000D9010000}"/>
    <cellStyle name="Grey 3" xfId="475" xr:uid="{00000000-0005-0000-0000-0000DA010000}"/>
    <cellStyle name="Grey_Tabella INPUT" xfId="476" xr:uid="{00000000-0005-0000-0000-0000DB010000}"/>
    <cellStyle name="grigio" xfId="477" xr:uid="{00000000-0005-0000-0000-0000DC010000}"/>
    <cellStyle name="GWh" xfId="478" xr:uid="{00000000-0005-0000-0000-0000DD010000}"/>
    <cellStyle name="Hard Percent" xfId="479" xr:uid="{00000000-0005-0000-0000-0000DE010000}"/>
    <cellStyle name="Hard Percent 2" xfId="480" xr:uid="{00000000-0005-0000-0000-0000DF010000}"/>
    <cellStyle name="Hard Percent 3" xfId="481" xr:uid="{00000000-0005-0000-0000-0000E0010000}"/>
    <cellStyle name="Header" xfId="482" xr:uid="{00000000-0005-0000-0000-0000E1010000}"/>
    <cellStyle name="Header 2" xfId="483" xr:uid="{00000000-0005-0000-0000-0000E2010000}"/>
    <cellStyle name="Header 3" xfId="484" xr:uid="{00000000-0005-0000-0000-0000E3010000}"/>
    <cellStyle name="Header0" xfId="485" xr:uid="{00000000-0005-0000-0000-0000E4010000}"/>
    <cellStyle name="Header0 2" xfId="486" xr:uid="{00000000-0005-0000-0000-0000E5010000}"/>
    <cellStyle name="Header0 3" xfId="487" xr:uid="{00000000-0005-0000-0000-0000E6010000}"/>
    <cellStyle name="Header1" xfId="488" xr:uid="{00000000-0005-0000-0000-0000E7010000}"/>
    <cellStyle name="Header1 2" xfId="489" xr:uid="{00000000-0005-0000-0000-0000E8010000}"/>
    <cellStyle name="Header1 3" xfId="490" xr:uid="{00000000-0005-0000-0000-0000E9010000}"/>
    <cellStyle name="Header2" xfId="491" xr:uid="{00000000-0005-0000-0000-0000EA010000}"/>
    <cellStyle name="Header2 2" xfId="492" xr:uid="{00000000-0005-0000-0000-0000EB010000}"/>
    <cellStyle name="Header2 3" xfId="493" xr:uid="{00000000-0005-0000-0000-0000EC010000}"/>
    <cellStyle name="Heading 1" xfId="494" xr:uid="{00000000-0005-0000-0000-0000ED010000}"/>
    <cellStyle name="Heading 1 2" xfId="495" xr:uid="{00000000-0005-0000-0000-0000EE010000}"/>
    <cellStyle name="Heading 1 3" xfId="496" xr:uid="{00000000-0005-0000-0000-0000EF010000}"/>
    <cellStyle name="Heading 2" xfId="497" xr:uid="{00000000-0005-0000-0000-0000F0010000}"/>
    <cellStyle name="Heading 2 2" xfId="498" xr:uid="{00000000-0005-0000-0000-0000F1010000}"/>
    <cellStyle name="Heading 2 3" xfId="499" xr:uid="{00000000-0005-0000-0000-0000F2010000}"/>
    <cellStyle name="Heading 3" xfId="500" xr:uid="{00000000-0005-0000-0000-0000F3010000}"/>
    <cellStyle name="Heading 3 2" xfId="501" xr:uid="{00000000-0005-0000-0000-0000F4010000}"/>
    <cellStyle name="Heading 3 3" xfId="502" xr:uid="{00000000-0005-0000-0000-0000F5010000}"/>
    <cellStyle name="Heading 4" xfId="503" xr:uid="{00000000-0005-0000-0000-0000F6010000}"/>
    <cellStyle name="Heading 4 2" xfId="504" xr:uid="{00000000-0005-0000-0000-0000F7010000}"/>
    <cellStyle name="Heading 4 3" xfId="505" xr:uid="{00000000-0005-0000-0000-0000F8010000}"/>
    <cellStyle name="HeadingB" xfId="506" xr:uid="{00000000-0005-0000-0000-0000F9010000}"/>
    <cellStyle name="HeadingBU" xfId="507" xr:uid="{00000000-0005-0000-0000-0000FA010000}"/>
    <cellStyle name="headline01" xfId="508" xr:uid="{00000000-0005-0000-0000-0000FB010000}"/>
    <cellStyle name="headline01 2" xfId="509" xr:uid="{00000000-0005-0000-0000-0000FC010000}"/>
    <cellStyle name="headline01 2 2" xfId="510" xr:uid="{00000000-0005-0000-0000-0000FD010000}"/>
    <cellStyle name="headline01 2 3" xfId="511" xr:uid="{00000000-0005-0000-0000-0000FE010000}"/>
    <cellStyle name="headline01 3" xfId="512" xr:uid="{00000000-0005-0000-0000-0000FF010000}"/>
    <cellStyle name="headline01 4" xfId="513" xr:uid="{00000000-0005-0000-0000-000000020000}"/>
    <cellStyle name="Hyperlink" xfId="514" xr:uid="{00000000-0005-0000-0000-000001020000}"/>
    <cellStyle name="Info_Main" xfId="515" xr:uid="{00000000-0005-0000-0000-000002020000}"/>
    <cellStyle name="Input" xfId="516" builtinId="20" customBuiltin="1"/>
    <cellStyle name="Input (%)" xfId="517" xr:uid="{00000000-0005-0000-0000-000004020000}"/>
    <cellStyle name="Input (£m)" xfId="518" xr:uid="{00000000-0005-0000-0000-000005020000}"/>
    <cellStyle name="Input (0)" xfId="519" xr:uid="{00000000-0005-0000-0000-000006020000}"/>
    <cellStyle name="Input (0,0)" xfId="520" xr:uid="{00000000-0005-0000-0000-000007020000}"/>
    <cellStyle name="Input (0,00)" xfId="521" xr:uid="{00000000-0005-0000-0000-000008020000}"/>
    <cellStyle name="Input (0,00) 2" xfId="522" xr:uid="{00000000-0005-0000-0000-000009020000}"/>
    <cellStyle name="Input (0,00) 3" xfId="523" xr:uid="{00000000-0005-0000-0000-00000A020000}"/>
    <cellStyle name="Input (000)" xfId="524" xr:uid="{00000000-0005-0000-0000-00000B020000}"/>
    <cellStyle name="Input (No)" xfId="525" xr:uid="{00000000-0005-0000-0000-00000C020000}"/>
    <cellStyle name="Input [yellow]" xfId="526" xr:uid="{00000000-0005-0000-0000-00000D020000}"/>
    <cellStyle name="Input [yellow] 2" xfId="527" xr:uid="{00000000-0005-0000-0000-00000E020000}"/>
    <cellStyle name="Input [yellow] 3" xfId="528" xr:uid="{00000000-0005-0000-0000-00000F020000}"/>
    <cellStyle name="Input [yellow]_Tabella INPUT" xfId="529" xr:uid="{00000000-0005-0000-0000-000010020000}"/>
    <cellStyle name="Input 10" xfId="530" xr:uid="{00000000-0005-0000-0000-000011020000}"/>
    <cellStyle name="Input 11" xfId="531" xr:uid="{00000000-0005-0000-0000-000012020000}"/>
    <cellStyle name="Input 12" xfId="532" xr:uid="{00000000-0005-0000-0000-000013020000}"/>
    <cellStyle name="Input 13" xfId="533" xr:uid="{00000000-0005-0000-0000-000014020000}"/>
    <cellStyle name="Input 14" xfId="534" xr:uid="{00000000-0005-0000-0000-000015020000}"/>
    <cellStyle name="Input 15" xfId="535" xr:uid="{00000000-0005-0000-0000-000016020000}"/>
    <cellStyle name="Input 16" xfId="536" xr:uid="{00000000-0005-0000-0000-000017020000}"/>
    <cellStyle name="Input 17" xfId="537" xr:uid="{00000000-0005-0000-0000-000018020000}"/>
    <cellStyle name="Input 18" xfId="538" xr:uid="{00000000-0005-0000-0000-000019020000}"/>
    <cellStyle name="Input 19" xfId="539" xr:uid="{00000000-0005-0000-0000-00001A020000}"/>
    <cellStyle name="Input 2" xfId="540" xr:uid="{00000000-0005-0000-0000-00001B020000}"/>
    <cellStyle name="Input 20" xfId="541" xr:uid="{00000000-0005-0000-0000-00001C020000}"/>
    <cellStyle name="Input 21" xfId="542" xr:uid="{00000000-0005-0000-0000-00001D020000}"/>
    <cellStyle name="Input 22" xfId="543" xr:uid="{00000000-0005-0000-0000-00001E020000}"/>
    <cellStyle name="Input 23" xfId="544" xr:uid="{00000000-0005-0000-0000-00001F020000}"/>
    <cellStyle name="Input 24" xfId="545" xr:uid="{00000000-0005-0000-0000-000020020000}"/>
    <cellStyle name="Input 25" xfId="546" xr:uid="{00000000-0005-0000-0000-000021020000}"/>
    <cellStyle name="Input 26" xfId="547" xr:uid="{00000000-0005-0000-0000-000022020000}"/>
    <cellStyle name="Input 27" xfId="548" xr:uid="{00000000-0005-0000-0000-000023020000}"/>
    <cellStyle name="Input 28" xfId="549" xr:uid="{00000000-0005-0000-0000-000024020000}"/>
    <cellStyle name="Input 29" xfId="550" xr:uid="{00000000-0005-0000-0000-000025020000}"/>
    <cellStyle name="Input 3" xfId="551" xr:uid="{00000000-0005-0000-0000-000026020000}"/>
    <cellStyle name="Input 30" xfId="552" xr:uid="{00000000-0005-0000-0000-000027020000}"/>
    <cellStyle name="Input 31" xfId="553" xr:uid="{00000000-0005-0000-0000-000028020000}"/>
    <cellStyle name="Input 32" xfId="554" xr:uid="{00000000-0005-0000-0000-000029020000}"/>
    <cellStyle name="Input 33" xfId="555" xr:uid="{00000000-0005-0000-0000-00002A020000}"/>
    <cellStyle name="Input 34" xfId="556" xr:uid="{00000000-0005-0000-0000-00002B020000}"/>
    <cellStyle name="Input 35" xfId="557" xr:uid="{00000000-0005-0000-0000-00002C020000}"/>
    <cellStyle name="Input 36" xfId="558" xr:uid="{00000000-0005-0000-0000-00002D020000}"/>
    <cellStyle name="Input 37" xfId="559" xr:uid="{00000000-0005-0000-0000-00002E020000}"/>
    <cellStyle name="Input 38" xfId="560" xr:uid="{00000000-0005-0000-0000-00002F020000}"/>
    <cellStyle name="Input 39" xfId="561" xr:uid="{00000000-0005-0000-0000-000030020000}"/>
    <cellStyle name="Input 4" xfId="562" xr:uid="{00000000-0005-0000-0000-000031020000}"/>
    <cellStyle name="Input 40" xfId="563" xr:uid="{00000000-0005-0000-0000-000032020000}"/>
    <cellStyle name="Input 41" xfId="564" xr:uid="{00000000-0005-0000-0000-000033020000}"/>
    <cellStyle name="Input 42" xfId="565" xr:uid="{00000000-0005-0000-0000-000034020000}"/>
    <cellStyle name="Input 5" xfId="566" xr:uid="{00000000-0005-0000-0000-000035020000}"/>
    <cellStyle name="Input 6" xfId="567" xr:uid="{00000000-0005-0000-0000-000036020000}"/>
    <cellStyle name="Input 7" xfId="568" xr:uid="{00000000-0005-0000-0000-000037020000}"/>
    <cellStyle name="Input 8" xfId="569" xr:uid="{00000000-0005-0000-0000-000038020000}"/>
    <cellStyle name="Input 9" xfId="570" xr:uid="{00000000-0005-0000-0000-000039020000}"/>
    <cellStyle name="Input Normal" xfId="571" xr:uid="{00000000-0005-0000-0000-00003A020000}"/>
    <cellStyle name="Input Perc (0,00)" xfId="572" xr:uid="{00000000-0005-0000-0000-00003B020000}"/>
    <cellStyle name="Input Percent" xfId="573" xr:uid="{00000000-0005-0000-0000-00003C020000}"/>
    <cellStyle name="Input(0)" xfId="574" xr:uid="{00000000-0005-0000-0000-00003D020000}"/>
    <cellStyle name="Input(0,0)" xfId="575" xr:uid="{00000000-0005-0000-0000-00003E020000}"/>
    <cellStyle name="Input(0,000)" xfId="576" xr:uid="{00000000-0005-0000-0000-00003F020000}"/>
    <cellStyle name="InputCell" xfId="577" xr:uid="{00000000-0005-0000-0000-000040020000}"/>
    <cellStyle name="Istogram. 3D_A_2" xfId="578" xr:uid="{00000000-0005-0000-0000-000041020000}"/>
    <cellStyle name="ITL" xfId="579" xr:uid="{00000000-0005-0000-0000-000042020000}"/>
    <cellStyle name="Label" xfId="580" xr:uid="{00000000-0005-0000-0000-000043020000}"/>
    <cellStyle name="Link Currency (0)" xfId="581" xr:uid="{00000000-0005-0000-0000-000044020000}"/>
    <cellStyle name="Link Currency (0) 2" xfId="582" xr:uid="{00000000-0005-0000-0000-000045020000}"/>
    <cellStyle name="Link Currency (0)_Tabella INPUT" xfId="583" xr:uid="{00000000-0005-0000-0000-000046020000}"/>
    <cellStyle name="Link Currency (2)" xfId="584" xr:uid="{00000000-0005-0000-0000-000047020000}"/>
    <cellStyle name="Link Currency (2) 2" xfId="585" xr:uid="{00000000-0005-0000-0000-000048020000}"/>
    <cellStyle name="Link Currency (2)_Tabella INPUT" xfId="586" xr:uid="{00000000-0005-0000-0000-000049020000}"/>
    <cellStyle name="Link Units (0)" xfId="587" xr:uid="{00000000-0005-0000-0000-00004A020000}"/>
    <cellStyle name="Link Units (0) 2" xfId="588" xr:uid="{00000000-0005-0000-0000-00004B020000}"/>
    <cellStyle name="Link Units (0)_Tabella INPUT" xfId="589" xr:uid="{00000000-0005-0000-0000-00004C020000}"/>
    <cellStyle name="Link Units (1)" xfId="590" xr:uid="{00000000-0005-0000-0000-00004D020000}"/>
    <cellStyle name="Link Units (1) 2" xfId="591" xr:uid="{00000000-0005-0000-0000-00004E020000}"/>
    <cellStyle name="Link Units (1)_Tabella INPUT" xfId="592" xr:uid="{00000000-0005-0000-0000-00004F020000}"/>
    <cellStyle name="Link Units (2)" xfId="593" xr:uid="{00000000-0005-0000-0000-000050020000}"/>
    <cellStyle name="Link Units (2) 2" xfId="594" xr:uid="{00000000-0005-0000-0000-000051020000}"/>
    <cellStyle name="Link Units (2)_Tabella INPUT" xfId="595" xr:uid="{00000000-0005-0000-0000-000052020000}"/>
    <cellStyle name="Linked Cell" xfId="596" xr:uid="{00000000-0005-0000-0000-000053020000}"/>
    <cellStyle name="Linked Cell 2" xfId="597" xr:uid="{00000000-0005-0000-0000-000054020000}"/>
    <cellStyle name="Linked Cell 3" xfId="598" xr:uid="{00000000-0005-0000-0000-000055020000}"/>
    <cellStyle name="MAGENTA" xfId="599" xr:uid="{00000000-0005-0000-0000-000056020000}"/>
    <cellStyle name="MAGENTA 2" xfId="600" xr:uid="{00000000-0005-0000-0000-000057020000}"/>
    <cellStyle name="MAGENTA 3" xfId="601" xr:uid="{00000000-0005-0000-0000-000058020000}"/>
    <cellStyle name="MAGENTA_Tabella INPUT" xfId="602" xr:uid="{00000000-0005-0000-0000-000059020000}"/>
    <cellStyle name="Miglia" xfId="603" xr:uid="{00000000-0005-0000-0000-00005A020000}"/>
    <cellStyle name="Migliaia" xfId="604" builtinId="3"/>
    <cellStyle name="Migliaia (0)_ NOMINATIVI Euro" xfId="605" xr:uid="{00000000-0005-0000-0000-00005C020000}"/>
    <cellStyle name="Migliaia (0,0)" xfId="606" xr:uid="{00000000-0005-0000-0000-00005D020000}"/>
    <cellStyle name="Migliaia (0,00)" xfId="607" xr:uid="{00000000-0005-0000-0000-00005E020000}"/>
    <cellStyle name="Migliaia (0,00) 2" xfId="608" xr:uid="{00000000-0005-0000-0000-00005F020000}"/>
    <cellStyle name="Migliaia (0,00) 3" xfId="609" xr:uid="{00000000-0005-0000-0000-000060020000}"/>
    <cellStyle name="Migliaia (0,000)" xfId="610" xr:uid="{00000000-0005-0000-0000-000061020000}"/>
    <cellStyle name="Migliaia (000)" xfId="611" xr:uid="{00000000-0005-0000-0000-000062020000}"/>
    <cellStyle name="Migliaia [0] 2" xfId="612" xr:uid="{00000000-0005-0000-0000-000063020000}"/>
    <cellStyle name="Migliaia 10" xfId="613" xr:uid="{00000000-0005-0000-0000-000064020000}"/>
    <cellStyle name="Migliaia 11" xfId="614" xr:uid="{00000000-0005-0000-0000-000065020000}"/>
    <cellStyle name="Migliaia 12" xfId="615" xr:uid="{00000000-0005-0000-0000-000066020000}"/>
    <cellStyle name="Migliaia 13" xfId="616" xr:uid="{00000000-0005-0000-0000-000067020000}"/>
    <cellStyle name="Migliaia 14" xfId="617" xr:uid="{00000000-0005-0000-0000-000068020000}"/>
    <cellStyle name="Migliaia 15" xfId="618" xr:uid="{00000000-0005-0000-0000-000069020000}"/>
    <cellStyle name="Migliaia 16" xfId="619" xr:uid="{00000000-0005-0000-0000-00006A020000}"/>
    <cellStyle name="Migliaia 17" xfId="620" xr:uid="{00000000-0005-0000-0000-00006B020000}"/>
    <cellStyle name="Migliaia 18" xfId="621" xr:uid="{00000000-0005-0000-0000-00006C020000}"/>
    <cellStyle name="Migliaia 19" xfId="622" xr:uid="{00000000-0005-0000-0000-00006D020000}"/>
    <cellStyle name="Migliaia 2" xfId="623" xr:uid="{00000000-0005-0000-0000-00006E020000}"/>
    <cellStyle name="Migliaia 2 2" xfId="624" xr:uid="{00000000-0005-0000-0000-00006F020000}"/>
    <cellStyle name="Migliaia 2 3" xfId="625" xr:uid="{00000000-0005-0000-0000-000070020000}"/>
    <cellStyle name="Migliaia 2 4" xfId="626" xr:uid="{00000000-0005-0000-0000-000071020000}"/>
    <cellStyle name="Migliaia 2 5" xfId="627" xr:uid="{00000000-0005-0000-0000-000072020000}"/>
    <cellStyle name="Migliaia 2 6" xfId="628" xr:uid="{00000000-0005-0000-0000-000073020000}"/>
    <cellStyle name="Migliaia 2 6 2" xfId="629" xr:uid="{00000000-0005-0000-0000-000074020000}"/>
    <cellStyle name="Migliaia 2 dec." xfId="630" xr:uid="{00000000-0005-0000-0000-000075020000}"/>
    <cellStyle name="Migliaia 2 dec. 2" xfId="631" xr:uid="{00000000-0005-0000-0000-000076020000}"/>
    <cellStyle name="Migliaia 2 dec. 3" xfId="632" xr:uid="{00000000-0005-0000-0000-000077020000}"/>
    <cellStyle name="Migliaia 20" xfId="633" xr:uid="{00000000-0005-0000-0000-000078020000}"/>
    <cellStyle name="Migliaia 21" xfId="634" xr:uid="{00000000-0005-0000-0000-000079020000}"/>
    <cellStyle name="Migliaia 21 2" xfId="635" xr:uid="{00000000-0005-0000-0000-00007A020000}"/>
    <cellStyle name="Migliaia 22" xfId="636" xr:uid="{00000000-0005-0000-0000-00007B020000}"/>
    <cellStyle name="Migliaia 22 2" xfId="637" xr:uid="{00000000-0005-0000-0000-00007C020000}"/>
    <cellStyle name="Migliaia 23" xfId="638" xr:uid="{00000000-0005-0000-0000-00007D020000}"/>
    <cellStyle name="Migliaia 23 2" xfId="639" xr:uid="{00000000-0005-0000-0000-00007E020000}"/>
    <cellStyle name="Migliaia 24" xfId="640" xr:uid="{00000000-0005-0000-0000-00007F020000}"/>
    <cellStyle name="Migliaia 25" xfId="641" xr:uid="{00000000-0005-0000-0000-000080020000}"/>
    <cellStyle name="Migliaia 26" xfId="642" xr:uid="{00000000-0005-0000-0000-000081020000}"/>
    <cellStyle name="Migliaia 27" xfId="643" xr:uid="{00000000-0005-0000-0000-000082020000}"/>
    <cellStyle name="Migliaia 28" xfId="644" xr:uid="{00000000-0005-0000-0000-000083020000}"/>
    <cellStyle name="Migliaia 29" xfId="645" xr:uid="{00000000-0005-0000-0000-000084020000}"/>
    <cellStyle name="Migliaia 3" xfId="646" xr:uid="{00000000-0005-0000-0000-000085020000}"/>
    <cellStyle name="Migliaia 3 2" xfId="647" xr:uid="{00000000-0005-0000-0000-000086020000}"/>
    <cellStyle name="Migliaia 3 3" xfId="648" xr:uid="{00000000-0005-0000-0000-000087020000}"/>
    <cellStyle name="Migliaia 3 4" xfId="649" xr:uid="{00000000-0005-0000-0000-000088020000}"/>
    <cellStyle name="Migliaia 3 5" xfId="650" xr:uid="{00000000-0005-0000-0000-000089020000}"/>
    <cellStyle name="Migliaia 30" xfId="651" xr:uid="{00000000-0005-0000-0000-00008A020000}"/>
    <cellStyle name="Migliaia 30 2" xfId="652" xr:uid="{00000000-0005-0000-0000-00008B020000}"/>
    <cellStyle name="Migliaia 31" xfId="653" xr:uid="{00000000-0005-0000-0000-00008C020000}"/>
    <cellStyle name="Migliaia 31 2" xfId="654" xr:uid="{00000000-0005-0000-0000-00008D020000}"/>
    <cellStyle name="Migliaia 32" xfId="655" xr:uid="{00000000-0005-0000-0000-00008E020000}"/>
    <cellStyle name="Migliaia 33" xfId="656" xr:uid="{00000000-0005-0000-0000-00008F020000}"/>
    <cellStyle name="Migliaia 34" xfId="657" xr:uid="{00000000-0005-0000-0000-000090020000}"/>
    <cellStyle name="Migliaia 35" xfId="658" xr:uid="{00000000-0005-0000-0000-000091020000}"/>
    <cellStyle name="Migliaia 36" xfId="659" xr:uid="{00000000-0005-0000-0000-000092020000}"/>
    <cellStyle name="Migliaia 37" xfId="660" xr:uid="{00000000-0005-0000-0000-000093020000}"/>
    <cellStyle name="Migliaia 38" xfId="661" xr:uid="{00000000-0005-0000-0000-000094020000}"/>
    <cellStyle name="Migliaia 39" xfId="662" xr:uid="{00000000-0005-0000-0000-000095020000}"/>
    <cellStyle name="Migliaia 4" xfId="663" xr:uid="{00000000-0005-0000-0000-000096020000}"/>
    <cellStyle name="Migliaia 4 2" xfId="664" xr:uid="{00000000-0005-0000-0000-000097020000}"/>
    <cellStyle name="Migliaia 40" xfId="665" xr:uid="{00000000-0005-0000-0000-000098020000}"/>
    <cellStyle name="Migliaia 41" xfId="666" xr:uid="{00000000-0005-0000-0000-000099020000}"/>
    <cellStyle name="Migliaia 42" xfId="667" xr:uid="{00000000-0005-0000-0000-00009A020000}"/>
    <cellStyle name="Migliaia 42 2" xfId="668" xr:uid="{00000000-0005-0000-0000-00009B020000}"/>
    <cellStyle name="Migliaia 43" xfId="669" xr:uid="{00000000-0005-0000-0000-00009C020000}"/>
    <cellStyle name="Migliaia 43 2" xfId="670" xr:uid="{00000000-0005-0000-0000-00009D020000}"/>
    <cellStyle name="Migliaia 44" xfId="671" xr:uid="{00000000-0005-0000-0000-00009E020000}"/>
    <cellStyle name="Migliaia 44 2" xfId="672" xr:uid="{00000000-0005-0000-0000-00009F020000}"/>
    <cellStyle name="Migliaia 45" xfId="673" xr:uid="{00000000-0005-0000-0000-0000A0020000}"/>
    <cellStyle name="Migliaia 45 2" xfId="674" xr:uid="{00000000-0005-0000-0000-0000A1020000}"/>
    <cellStyle name="Migliaia 45 3" xfId="675" xr:uid="{00000000-0005-0000-0000-0000A2020000}"/>
    <cellStyle name="Migliaia 46" xfId="676" xr:uid="{00000000-0005-0000-0000-0000A3020000}"/>
    <cellStyle name="Migliaia 46 2" xfId="677" xr:uid="{00000000-0005-0000-0000-0000A4020000}"/>
    <cellStyle name="Migliaia 46 3" xfId="678" xr:uid="{00000000-0005-0000-0000-0000A5020000}"/>
    <cellStyle name="Migliaia 47" xfId="679" xr:uid="{00000000-0005-0000-0000-0000A6020000}"/>
    <cellStyle name="Migliaia 47 2" xfId="680" xr:uid="{00000000-0005-0000-0000-0000A7020000}"/>
    <cellStyle name="Migliaia 47 3" xfId="681" xr:uid="{00000000-0005-0000-0000-0000A8020000}"/>
    <cellStyle name="Migliaia 48" xfId="682" xr:uid="{00000000-0005-0000-0000-0000A9020000}"/>
    <cellStyle name="Migliaia 48 2" xfId="683" xr:uid="{00000000-0005-0000-0000-0000AA020000}"/>
    <cellStyle name="Migliaia 48 3" xfId="684" xr:uid="{00000000-0005-0000-0000-0000AB020000}"/>
    <cellStyle name="Migliaia 49" xfId="685" xr:uid="{00000000-0005-0000-0000-0000AC020000}"/>
    <cellStyle name="Migliaia 49 2" xfId="686" xr:uid="{00000000-0005-0000-0000-0000AD020000}"/>
    <cellStyle name="Migliaia 49 3" xfId="687" xr:uid="{00000000-0005-0000-0000-0000AE020000}"/>
    <cellStyle name="Migliaia 5" xfId="688" xr:uid="{00000000-0005-0000-0000-0000AF020000}"/>
    <cellStyle name="Migliaia 50" xfId="689" xr:uid="{00000000-0005-0000-0000-0000B0020000}"/>
    <cellStyle name="Migliaia 50 2" xfId="690" xr:uid="{00000000-0005-0000-0000-0000B1020000}"/>
    <cellStyle name="Migliaia 50 3" xfId="691" xr:uid="{00000000-0005-0000-0000-0000B2020000}"/>
    <cellStyle name="Migliaia 51" xfId="692" xr:uid="{00000000-0005-0000-0000-0000B3020000}"/>
    <cellStyle name="Migliaia 51 2" xfId="693" xr:uid="{00000000-0005-0000-0000-0000B4020000}"/>
    <cellStyle name="Migliaia 51 3" xfId="694" xr:uid="{00000000-0005-0000-0000-0000B5020000}"/>
    <cellStyle name="Migliaia 52" xfId="695" xr:uid="{00000000-0005-0000-0000-0000B6020000}"/>
    <cellStyle name="Migliaia 52 2" xfId="696" xr:uid="{00000000-0005-0000-0000-0000B7020000}"/>
    <cellStyle name="Migliaia 52 3" xfId="697" xr:uid="{00000000-0005-0000-0000-0000B8020000}"/>
    <cellStyle name="Migliaia 53" xfId="698" xr:uid="{00000000-0005-0000-0000-0000B9020000}"/>
    <cellStyle name="Migliaia 53 2" xfId="699" xr:uid="{00000000-0005-0000-0000-0000BA020000}"/>
    <cellStyle name="Migliaia 53 3" xfId="700" xr:uid="{00000000-0005-0000-0000-0000BB020000}"/>
    <cellStyle name="Migliaia 54" xfId="701" xr:uid="{00000000-0005-0000-0000-0000BC020000}"/>
    <cellStyle name="Migliaia 54 2" xfId="702" xr:uid="{00000000-0005-0000-0000-0000BD020000}"/>
    <cellStyle name="Migliaia 54 3" xfId="703" xr:uid="{00000000-0005-0000-0000-0000BE020000}"/>
    <cellStyle name="Migliaia 55" xfId="704" xr:uid="{00000000-0005-0000-0000-0000BF020000}"/>
    <cellStyle name="Migliaia 55 2" xfId="705" xr:uid="{00000000-0005-0000-0000-0000C0020000}"/>
    <cellStyle name="Migliaia 55 3" xfId="706" xr:uid="{00000000-0005-0000-0000-0000C1020000}"/>
    <cellStyle name="Migliaia 56" xfId="707" xr:uid="{00000000-0005-0000-0000-0000C2020000}"/>
    <cellStyle name="Migliaia 56 2" xfId="708" xr:uid="{00000000-0005-0000-0000-0000C3020000}"/>
    <cellStyle name="Migliaia 56 3" xfId="709" xr:uid="{00000000-0005-0000-0000-0000C4020000}"/>
    <cellStyle name="Migliaia 57" xfId="710" xr:uid="{00000000-0005-0000-0000-0000C5020000}"/>
    <cellStyle name="Migliaia 57 2" xfId="711" xr:uid="{00000000-0005-0000-0000-0000C6020000}"/>
    <cellStyle name="Migliaia 58" xfId="712" xr:uid="{00000000-0005-0000-0000-0000C7020000}"/>
    <cellStyle name="Migliaia 58 2" xfId="713" xr:uid="{00000000-0005-0000-0000-0000C8020000}"/>
    <cellStyle name="Migliaia 59" xfId="714" xr:uid="{00000000-0005-0000-0000-0000C9020000}"/>
    <cellStyle name="Migliaia 59 2" xfId="715" xr:uid="{00000000-0005-0000-0000-0000CA020000}"/>
    <cellStyle name="Migliaia 6" xfId="716" xr:uid="{00000000-0005-0000-0000-0000CB020000}"/>
    <cellStyle name="Migliaia 60" xfId="717" xr:uid="{00000000-0005-0000-0000-0000CC020000}"/>
    <cellStyle name="Migliaia 60 2" xfId="718" xr:uid="{00000000-0005-0000-0000-0000CD020000}"/>
    <cellStyle name="Migliaia 61" xfId="719" xr:uid="{00000000-0005-0000-0000-0000CE020000}"/>
    <cellStyle name="Migliaia 61 2" xfId="720" xr:uid="{00000000-0005-0000-0000-0000CF020000}"/>
    <cellStyle name="Migliaia 62" xfId="721" xr:uid="{00000000-0005-0000-0000-0000D0020000}"/>
    <cellStyle name="Migliaia 62 2" xfId="722" xr:uid="{00000000-0005-0000-0000-0000D1020000}"/>
    <cellStyle name="Migliaia 63" xfId="723" xr:uid="{00000000-0005-0000-0000-0000D2020000}"/>
    <cellStyle name="Migliaia 63 2" xfId="724" xr:uid="{00000000-0005-0000-0000-0000D3020000}"/>
    <cellStyle name="Migliaia 64" xfId="725" xr:uid="{00000000-0005-0000-0000-0000D4020000}"/>
    <cellStyle name="Migliaia 64 2" xfId="726" xr:uid="{00000000-0005-0000-0000-0000D5020000}"/>
    <cellStyle name="Migliaia 64 3" xfId="727" xr:uid="{00000000-0005-0000-0000-0000D6020000}"/>
    <cellStyle name="Migliaia 65" xfId="728" xr:uid="{00000000-0005-0000-0000-0000D7020000}"/>
    <cellStyle name="Migliaia 65 2" xfId="729" xr:uid="{00000000-0005-0000-0000-0000D8020000}"/>
    <cellStyle name="Migliaia 65 3" xfId="730" xr:uid="{00000000-0005-0000-0000-0000D9020000}"/>
    <cellStyle name="Migliaia 66" xfId="731" xr:uid="{00000000-0005-0000-0000-0000DA020000}"/>
    <cellStyle name="Migliaia 66 2" xfId="732" xr:uid="{00000000-0005-0000-0000-0000DB020000}"/>
    <cellStyle name="Migliaia 66 3" xfId="733" xr:uid="{00000000-0005-0000-0000-0000DC020000}"/>
    <cellStyle name="Migliaia 67" xfId="734" xr:uid="{00000000-0005-0000-0000-0000DD020000}"/>
    <cellStyle name="Migliaia 67 2" xfId="735" xr:uid="{00000000-0005-0000-0000-0000DE020000}"/>
    <cellStyle name="Migliaia 67 3" xfId="736" xr:uid="{00000000-0005-0000-0000-0000DF020000}"/>
    <cellStyle name="Migliaia 68" xfId="737" xr:uid="{00000000-0005-0000-0000-0000E0020000}"/>
    <cellStyle name="Migliaia 68 2" xfId="738" xr:uid="{00000000-0005-0000-0000-0000E1020000}"/>
    <cellStyle name="Migliaia 69" xfId="739" xr:uid="{00000000-0005-0000-0000-0000E2020000}"/>
    <cellStyle name="Migliaia 69 2" xfId="740" xr:uid="{00000000-0005-0000-0000-0000E3020000}"/>
    <cellStyle name="Migliaia 7" xfId="741" xr:uid="{00000000-0005-0000-0000-0000E4020000}"/>
    <cellStyle name="Migliaia 70" xfId="742" xr:uid="{00000000-0005-0000-0000-0000E5020000}"/>
    <cellStyle name="Migliaia 70 2" xfId="743" xr:uid="{00000000-0005-0000-0000-0000E6020000}"/>
    <cellStyle name="Migliaia 71" xfId="744" xr:uid="{00000000-0005-0000-0000-0000E7020000}"/>
    <cellStyle name="Migliaia 71 2" xfId="745" xr:uid="{00000000-0005-0000-0000-0000E8020000}"/>
    <cellStyle name="Migliaia 72" xfId="746" xr:uid="{00000000-0005-0000-0000-0000E9020000}"/>
    <cellStyle name="Migliaia 73" xfId="747" xr:uid="{00000000-0005-0000-0000-0000EA020000}"/>
    <cellStyle name="Migliaia 74" xfId="748" xr:uid="{00000000-0005-0000-0000-0000EB020000}"/>
    <cellStyle name="Migliaia 75" xfId="749" xr:uid="{00000000-0005-0000-0000-0000EC020000}"/>
    <cellStyle name="Migliaia 76" xfId="750" xr:uid="{00000000-0005-0000-0000-0000ED020000}"/>
    <cellStyle name="Migliaia 77" xfId="751" xr:uid="{00000000-0005-0000-0000-0000EE020000}"/>
    <cellStyle name="Migliaia 78" xfId="752" xr:uid="{00000000-0005-0000-0000-0000EF020000}"/>
    <cellStyle name="Migliaia 79" xfId="753" xr:uid="{00000000-0005-0000-0000-0000F0020000}"/>
    <cellStyle name="Migliaia 8" xfId="754" xr:uid="{00000000-0005-0000-0000-0000F1020000}"/>
    <cellStyle name="Migliaia 80" xfId="755" xr:uid="{00000000-0005-0000-0000-0000F2020000}"/>
    <cellStyle name="Migliaia 81" xfId="756" xr:uid="{00000000-0005-0000-0000-0000F3020000}"/>
    <cellStyle name="Migliaia 82" xfId="757" xr:uid="{00000000-0005-0000-0000-0000F4020000}"/>
    <cellStyle name="Migliaia 83" xfId="758" xr:uid="{00000000-0005-0000-0000-0000F5020000}"/>
    <cellStyle name="Migliaia 9" xfId="759" xr:uid="{00000000-0005-0000-0000-0000F6020000}"/>
    <cellStyle name="Migliaia(0,0)" xfId="760" xr:uid="{00000000-0005-0000-0000-0000F7020000}"/>
    <cellStyle name="mil" xfId="761" xr:uid="{00000000-0005-0000-0000-0000F8020000}"/>
    <cellStyle name="Millares [0]_CAPEX_Acea_Alcatel_2505" xfId="762" xr:uid="{00000000-0005-0000-0000-0000F9020000}"/>
    <cellStyle name="Millares_CAPEX_Acea_Alcatel_2505" xfId="763" xr:uid="{00000000-0005-0000-0000-0000FA020000}"/>
    <cellStyle name="Milliers [0]_BUSINESS PLAN" xfId="764" xr:uid="{00000000-0005-0000-0000-0000FB020000}"/>
    <cellStyle name="Moneda [0]_CAPEX_Acea_Alcatel_2505" xfId="765" xr:uid="{00000000-0005-0000-0000-0000FC020000}"/>
    <cellStyle name="Moneda_CAPEX_Acea_Alcatel_2505" xfId="766" xr:uid="{00000000-0005-0000-0000-0000FD020000}"/>
    <cellStyle name="Multiple" xfId="767" xr:uid="{00000000-0005-0000-0000-0000FE020000}"/>
    <cellStyle name="Multiple 2" xfId="768" xr:uid="{00000000-0005-0000-0000-0000FF020000}"/>
    <cellStyle name="Multiple 3" xfId="769" xr:uid="{00000000-0005-0000-0000-000000030000}"/>
    <cellStyle name="Neutral" xfId="770" xr:uid="{00000000-0005-0000-0000-000001030000}"/>
    <cellStyle name="Neutral 2" xfId="771" xr:uid="{00000000-0005-0000-0000-000002030000}"/>
    <cellStyle name="Neutral 3" xfId="772" xr:uid="{00000000-0005-0000-0000-000003030000}"/>
    <cellStyle name="Neutrale" xfId="773" builtinId="28" customBuiltin="1"/>
    <cellStyle name="Neutrale 2" xfId="774" xr:uid="{00000000-0005-0000-0000-000005030000}"/>
    <cellStyle name="NewPeso" xfId="775" xr:uid="{00000000-0005-0000-0000-000006030000}"/>
    <cellStyle name="no dec" xfId="776" xr:uid="{00000000-0005-0000-0000-000007030000}"/>
    <cellStyle name="NoEntry" xfId="777" xr:uid="{00000000-0005-0000-0000-000008030000}"/>
    <cellStyle name="Non_definito" xfId="778" xr:uid="{00000000-0005-0000-0000-000009030000}"/>
    <cellStyle name="None" xfId="779" xr:uid="{00000000-0005-0000-0000-00000A030000}"/>
    <cellStyle name="norma" xfId="780" xr:uid="{00000000-0005-0000-0000-00000B030000}"/>
    <cellStyle name="norma 2" xfId="781" xr:uid="{00000000-0005-0000-0000-00000C030000}"/>
    <cellStyle name="norma_Tabella INPUT" xfId="782" xr:uid="{00000000-0005-0000-0000-00000D030000}"/>
    <cellStyle name="Normal - Style1" xfId="783" xr:uid="{00000000-0005-0000-0000-00000E030000}"/>
    <cellStyle name="Normal - Style1 2" xfId="784" xr:uid="{00000000-0005-0000-0000-00000F030000}"/>
    <cellStyle name="Normal - Style1 3" xfId="785" xr:uid="{00000000-0005-0000-0000-000010030000}"/>
    <cellStyle name="Normal - Style1_Tabella INPUT" xfId="786" xr:uid="{00000000-0005-0000-0000-000011030000}"/>
    <cellStyle name="Normal (%)" xfId="787" xr:uid="{00000000-0005-0000-0000-000012030000}"/>
    <cellStyle name="Normal (£m)" xfId="788" xr:uid="{00000000-0005-0000-0000-000013030000}"/>
    <cellStyle name="Normal (No)" xfId="789" xr:uid="{00000000-0005-0000-0000-000014030000}"/>
    <cellStyle name="Normal (x)" xfId="790" xr:uid="{00000000-0005-0000-0000-000015030000}"/>
    <cellStyle name="Normal 2" xfId="791" xr:uid="{00000000-0005-0000-0000-000016030000}"/>
    <cellStyle name="Normal 2 2" xfId="792" xr:uid="{00000000-0005-0000-0000-000017030000}"/>
    <cellStyle name="Normal 2 3" xfId="793" xr:uid="{00000000-0005-0000-0000-000018030000}"/>
    <cellStyle name="Normal Tiger" xfId="794" xr:uid="{00000000-0005-0000-0000-000019030000}"/>
    <cellStyle name="Normal_02_28" xfId="795" xr:uid="{00000000-0005-0000-0000-00001A030000}"/>
    <cellStyle name="Normale" xfId="0" builtinId="0"/>
    <cellStyle name="Normale 10" xfId="796" xr:uid="{00000000-0005-0000-0000-00001C030000}"/>
    <cellStyle name="Normale 10 2" xfId="797" xr:uid="{00000000-0005-0000-0000-00001D030000}"/>
    <cellStyle name="Normale 11" xfId="798" xr:uid="{00000000-0005-0000-0000-00001E030000}"/>
    <cellStyle name="Normale 12" xfId="799" xr:uid="{00000000-0005-0000-0000-00001F030000}"/>
    <cellStyle name="Normale 12 2" xfId="800" xr:uid="{00000000-0005-0000-0000-000020030000}"/>
    <cellStyle name="Normale 13" xfId="801" xr:uid="{00000000-0005-0000-0000-000021030000}"/>
    <cellStyle name="Normale 14" xfId="802" xr:uid="{00000000-0005-0000-0000-000022030000}"/>
    <cellStyle name="Normale 14 2" xfId="803" xr:uid="{00000000-0005-0000-0000-000023030000}"/>
    <cellStyle name="Normale 15" xfId="804" xr:uid="{00000000-0005-0000-0000-000024030000}"/>
    <cellStyle name="Normale 15 2" xfId="805" xr:uid="{00000000-0005-0000-0000-000025030000}"/>
    <cellStyle name="Normale 16" xfId="806" xr:uid="{00000000-0005-0000-0000-000026030000}"/>
    <cellStyle name="Normale 16 2" xfId="807" xr:uid="{00000000-0005-0000-0000-000027030000}"/>
    <cellStyle name="Normale 17" xfId="808" xr:uid="{00000000-0005-0000-0000-000028030000}"/>
    <cellStyle name="Normale 17 2" xfId="809" xr:uid="{00000000-0005-0000-0000-000029030000}"/>
    <cellStyle name="Normale 18" xfId="810" xr:uid="{00000000-0005-0000-0000-00002A030000}"/>
    <cellStyle name="Normale 18 2" xfId="811" xr:uid="{00000000-0005-0000-0000-00002B030000}"/>
    <cellStyle name="Normale 19" xfId="812" xr:uid="{00000000-0005-0000-0000-00002C030000}"/>
    <cellStyle name="Normale 19 2" xfId="813" xr:uid="{00000000-0005-0000-0000-00002D030000}"/>
    <cellStyle name="Normale 2" xfId="814" xr:uid="{00000000-0005-0000-0000-00002E030000}"/>
    <cellStyle name="Normale 2 10" xfId="815" xr:uid="{00000000-0005-0000-0000-00002F030000}"/>
    <cellStyle name="Normale 2 11" xfId="816" xr:uid="{00000000-0005-0000-0000-000030030000}"/>
    <cellStyle name="Normale 2 12" xfId="817" xr:uid="{00000000-0005-0000-0000-000031030000}"/>
    <cellStyle name="Normale 2 13" xfId="818" xr:uid="{00000000-0005-0000-0000-000032030000}"/>
    <cellStyle name="Normale 2 14" xfId="819" xr:uid="{00000000-0005-0000-0000-000033030000}"/>
    <cellStyle name="Normale 2 2" xfId="820" xr:uid="{00000000-0005-0000-0000-000034030000}"/>
    <cellStyle name="Normale 2 2 10" xfId="821" xr:uid="{00000000-0005-0000-0000-000035030000}"/>
    <cellStyle name="Normale 2 2 11" xfId="822" xr:uid="{00000000-0005-0000-0000-000036030000}"/>
    <cellStyle name="Normale 2 2 12" xfId="823" xr:uid="{00000000-0005-0000-0000-000037030000}"/>
    <cellStyle name="Normale 2 2 2" xfId="824" xr:uid="{00000000-0005-0000-0000-000038030000}"/>
    <cellStyle name="Normale 2 2 3" xfId="825" xr:uid="{00000000-0005-0000-0000-000039030000}"/>
    <cellStyle name="Normale 2 2 4" xfId="826" xr:uid="{00000000-0005-0000-0000-00003A030000}"/>
    <cellStyle name="Normale 2 2 5" xfId="827" xr:uid="{00000000-0005-0000-0000-00003B030000}"/>
    <cellStyle name="Normale 2 2 6" xfId="828" xr:uid="{00000000-0005-0000-0000-00003C030000}"/>
    <cellStyle name="Normale 2 2 7" xfId="829" xr:uid="{00000000-0005-0000-0000-00003D030000}"/>
    <cellStyle name="Normale 2 2 8" xfId="830" xr:uid="{00000000-0005-0000-0000-00003E030000}"/>
    <cellStyle name="Normale 2 2 9" xfId="831" xr:uid="{00000000-0005-0000-0000-00003F030000}"/>
    <cellStyle name="Normale 2 3" xfId="832" xr:uid="{00000000-0005-0000-0000-000040030000}"/>
    <cellStyle name="Normale 2 3 10" xfId="833" xr:uid="{00000000-0005-0000-0000-000041030000}"/>
    <cellStyle name="Normale 2 3 11" xfId="834" xr:uid="{00000000-0005-0000-0000-000042030000}"/>
    <cellStyle name="Normale 2 3 12" xfId="835" xr:uid="{00000000-0005-0000-0000-000043030000}"/>
    <cellStyle name="Normale 2 3 2" xfId="836" xr:uid="{00000000-0005-0000-0000-000044030000}"/>
    <cellStyle name="Normale 2 3 3" xfId="837" xr:uid="{00000000-0005-0000-0000-000045030000}"/>
    <cellStyle name="Normale 2 3 4" xfId="838" xr:uid="{00000000-0005-0000-0000-000046030000}"/>
    <cellStyle name="Normale 2 3 5" xfId="839" xr:uid="{00000000-0005-0000-0000-000047030000}"/>
    <cellStyle name="Normale 2 3 6" xfId="840" xr:uid="{00000000-0005-0000-0000-000048030000}"/>
    <cellStyle name="Normale 2 3 7" xfId="841" xr:uid="{00000000-0005-0000-0000-000049030000}"/>
    <cellStyle name="Normale 2 3 8" xfId="842" xr:uid="{00000000-0005-0000-0000-00004A030000}"/>
    <cellStyle name="Normale 2 3 9" xfId="843" xr:uid="{00000000-0005-0000-0000-00004B030000}"/>
    <cellStyle name="Normale 2 4" xfId="844" xr:uid="{00000000-0005-0000-0000-00004C030000}"/>
    <cellStyle name="Normale 2 4 2" xfId="845" xr:uid="{00000000-0005-0000-0000-00004D030000}"/>
    <cellStyle name="Normale 2 4 3" xfId="846" xr:uid="{00000000-0005-0000-0000-00004E030000}"/>
    <cellStyle name="Normale 2 5" xfId="847" xr:uid="{00000000-0005-0000-0000-00004F030000}"/>
    <cellStyle name="Normale 2 5 2" xfId="848" xr:uid="{00000000-0005-0000-0000-000050030000}"/>
    <cellStyle name="Normale 2 6" xfId="849" xr:uid="{00000000-0005-0000-0000-000051030000}"/>
    <cellStyle name="Normale 2 7" xfId="850" xr:uid="{00000000-0005-0000-0000-000052030000}"/>
    <cellStyle name="Normale 2 8" xfId="851" xr:uid="{00000000-0005-0000-0000-000053030000}"/>
    <cellStyle name="Normale 2 9" xfId="852" xr:uid="{00000000-0005-0000-0000-000054030000}"/>
    <cellStyle name="Normale 2_Tabella INPUT" xfId="853" xr:uid="{00000000-0005-0000-0000-000055030000}"/>
    <cellStyle name="Normale 20" xfId="854" xr:uid="{00000000-0005-0000-0000-000056030000}"/>
    <cellStyle name="Normale 21" xfId="855" xr:uid="{00000000-0005-0000-0000-000057030000}"/>
    <cellStyle name="Normale 22" xfId="856" xr:uid="{00000000-0005-0000-0000-000058030000}"/>
    <cellStyle name="Normale 23" xfId="857" xr:uid="{00000000-0005-0000-0000-000059030000}"/>
    <cellStyle name="Normale 3" xfId="858" xr:uid="{00000000-0005-0000-0000-00005A030000}"/>
    <cellStyle name="Normale 3 2" xfId="859" xr:uid="{00000000-0005-0000-0000-00005B030000}"/>
    <cellStyle name="Normale 3 3" xfId="860" xr:uid="{00000000-0005-0000-0000-00005C030000}"/>
    <cellStyle name="Normale 3 4" xfId="861" xr:uid="{00000000-0005-0000-0000-00005D030000}"/>
    <cellStyle name="Normale 3 5" xfId="862" xr:uid="{00000000-0005-0000-0000-00005E030000}"/>
    <cellStyle name="Normale 3 6" xfId="863" xr:uid="{00000000-0005-0000-0000-00005F030000}"/>
    <cellStyle name="Normale 3_Tabella INPUT" xfId="864" xr:uid="{00000000-0005-0000-0000-000060030000}"/>
    <cellStyle name="Normale 4" xfId="865" xr:uid="{00000000-0005-0000-0000-000061030000}"/>
    <cellStyle name="Normale 4 2" xfId="866" xr:uid="{00000000-0005-0000-0000-000062030000}"/>
    <cellStyle name="Normale 4 3" xfId="867" xr:uid="{00000000-0005-0000-0000-000063030000}"/>
    <cellStyle name="Normale 4 4" xfId="868" xr:uid="{00000000-0005-0000-0000-000064030000}"/>
    <cellStyle name="Normale 4_Tabella INPUT" xfId="869" xr:uid="{00000000-0005-0000-0000-000065030000}"/>
    <cellStyle name="Normale 5" xfId="870" xr:uid="{00000000-0005-0000-0000-000066030000}"/>
    <cellStyle name="Normale 5 2" xfId="871" xr:uid="{00000000-0005-0000-0000-000067030000}"/>
    <cellStyle name="Normale 5 2 2" xfId="872" xr:uid="{00000000-0005-0000-0000-000068030000}"/>
    <cellStyle name="Normale 5 2 3" xfId="873" xr:uid="{00000000-0005-0000-0000-000069030000}"/>
    <cellStyle name="Normale 5_Tabella INPUT" xfId="874" xr:uid="{00000000-0005-0000-0000-00006A030000}"/>
    <cellStyle name="Normale 6" xfId="875" xr:uid="{00000000-0005-0000-0000-00006B030000}"/>
    <cellStyle name="Normale 6 2" xfId="876" xr:uid="{00000000-0005-0000-0000-00006C030000}"/>
    <cellStyle name="Normale 7" xfId="877" xr:uid="{00000000-0005-0000-0000-00006D030000}"/>
    <cellStyle name="Normale 8" xfId="878" xr:uid="{00000000-0005-0000-0000-00006E030000}"/>
    <cellStyle name="Normale 9" xfId="879" xr:uid="{00000000-0005-0000-0000-00006F030000}"/>
    <cellStyle name="Normale#.##0_);[Rosso](#.###);-" xfId="880" xr:uid="{00000000-0005-0000-0000-000070030000}"/>
    <cellStyle name="Normale_Condizioni economiche al 01.10.2010_TUTELATI" xfId="881" xr:uid="{00000000-0005-0000-0000-000071030000}"/>
    <cellStyle name="Normale_Condizioni economiche al 01.10.2010_TUTELATI 3" xfId="882" xr:uid="{00000000-0005-0000-0000-000072030000}"/>
    <cellStyle name="Normale_ripilogo corrispettivi per offerte gas" xfId="883" xr:uid="{00000000-0005-0000-0000-000073030000}"/>
    <cellStyle name="Normale_Scheda per valutazioni offerte concorrenti" xfId="884" xr:uid="{00000000-0005-0000-0000-000074030000}"/>
    <cellStyle name="NormalGB" xfId="885" xr:uid="{00000000-0005-0000-0000-000075030000}"/>
    <cellStyle name="NormalGB 2" xfId="886" xr:uid="{00000000-0005-0000-0000-000076030000}"/>
    <cellStyle name="Normalny_Nasza pf" xfId="887" xr:uid="{00000000-0005-0000-0000-000077030000}"/>
    <cellStyle name="NOSTRO" xfId="888" xr:uid="{00000000-0005-0000-0000-000078030000}"/>
    <cellStyle name="Nota" xfId="889" builtinId="10" customBuiltin="1"/>
    <cellStyle name="Nota 2" xfId="890" xr:uid="{00000000-0005-0000-0000-00007A030000}"/>
    <cellStyle name="Nota 2 2" xfId="891" xr:uid="{00000000-0005-0000-0000-00007B030000}"/>
    <cellStyle name="Nota 2 3" xfId="892" xr:uid="{00000000-0005-0000-0000-00007C030000}"/>
    <cellStyle name="Nota 2 3 2" xfId="893" xr:uid="{00000000-0005-0000-0000-00007D030000}"/>
    <cellStyle name="Nota 3" xfId="894" xr:uid="{00000000-0005-0000-0000-00007E030000}"/>
    <cellStyle name="Note" xfId="895" xr:uid="{00000000-0005-0000-0000-00007F030000}"/>
    <cellStyle name="Note 2" xfId="896" xr:uid="{00000000-0005-0000-0000-000080030000}"/>
    <cellStyle name="Note 3" xfId="897" xr:uid="{00000000-0005-0000-0000-000081030000}"/>
    <cellStyle name="Note 4" xfId="898" xr:uid="{00000000-0005-0000-0000-000082030000}"/>
    <cellStyle name="Note 4 2" xfId="899" xr:uid="{00000000-0005-0000-0000-000083030000}"/>
    <cellStyle name="Note 5" xfId="900" xr:uid="{00000000-0005-0000-0000-000084030000}"/>
    <cellStyle name="NullDataCell" xfId="901" xr:uid="{00000000-0005-0000-0000-000085030000}"/>
    <cellStyle name="Number" xfId="902" xr:uid="{00000000-0005-0000-0000-000086030000}"/>
    <cellStyle name="ODB_date_time" xfId="903" xr:uid="{00000000-0005-0000-0000-000087030000}"/>
    <cellStyle name="One" xfId="904" xr:uid="{00000000-0005-0000-0000-000088030000}"/>
    <cellStyle name="Output" xfId="905" builtinId="21" customBuiltin="1"/>
    <cellStyle name="Output 2" xfId="906" xr:uid="{00000000-0005-0000-0000-00008A030000}"/>
    <cellStyle name="Output 3" xfId="907" xr:uid="{00000000-0005-0000-0000-00008B030000}"/>
    <cellStyle name="Page Number" xfId="908" xr:uid="{00000000-0005-0000-0000-00008C030000}"/>
    <cellStyle name="Pence" xfId="909" xr:uid="{00000000-0005-0000-0000-00008D030000}"/>
    <cellStyle name="Percent (0.0)" xfId="910" xr:uid="{00000000-0005-0000-0000-00008E030000}"/>
    <cellStyle name="Percent [0]" xfId="911" xr:uid="{00000000-0005-0000-0000-00008F030000}"/>
    <cellStyle name="Percent [1]" xfId="912" xr:uid="{00000000-0005-0000-0000-000090030000}"/>
    <cellStyle name="Percent [2]" xfId="913" xr:uid="{00000000-0005-0000-0000-000091030000}"/>
    <cellStyle name="Percent_Modello - Wacc_IMI std" xfId="914" xr:uid="{00000000-0005-0000-0000-000092030000}"/>
    <cellStyle name="Percentage" xfId="915" xr:uid="{00000000-0005-0000-0000-000093030000}"/>
    <cellStyle name="Percentuale ,00" xfId="916" xr:uid="{00000000-0005-0000-0000-000094030000}"/>
    <cellStyle name="Percentuale 10" xfId="917" xr:uid="{00000000-0005-0000-0000-000095030000}"/>
    <cellStyle name="Percentuale 11" xfId="918" xr:uid="{00000000-0005-0000-0000-000096030000}"/>
    <cellStyle name="Percentuale 11 2" xfId="919" xr:uid="{00000000-0005-0000-0000-000097030000}"/>
    <cellStyle name="Percentuale 12" xfId="920" xr:uid="{00000000-0005-0000-0000-000098030000}"/>
    <cellStyle name="Percentuale 12 2" xfId="921" xr:uid="{00000000-0005-0000-0000-000099030000}"/>
    <cellStyle name="Percentuale 13" xfId="922" xr:uid="{00000000-0005-0000-0000-00009A030000}"/>
    <cellStyle name="Percentuale 13 2" xfId="923" xr:uid="{00000000-0005-0000-0000-00009B030000}"/>
    <cellStyle name="Percentuale 14" xfId="924" xr:uid="{00000000-0005-0000-0000-00009C030000}"/>
    <cellStyle name="Percentuale 14 2" xfId="925" xr:uid="{00000000-0005-0000-0000-00009D030000}"/>
    <cellStyle name="Percentuale 15" xfId="926" xr:uid="{00000000-0005-0000-0000-00009E030000}"/>
    <cellStyle name="Percentuale 15 2" xfId="927" xr:uid="{00000000-0005-0000-0000-00009F030000}"/>
    <cellStyle name="Percentuale 15 3" xfId="928" xr:uid="{00000000-0005-0000-0000-0000A0030000}"/>
    <cellStyle name="Percentuale 16" xfId="929" xr:uid="{00000000-0005-0000-0000-0000A1030000}"/>
    <cellStyle name="Percentuale 16 2" xfId="930" xr:uid="{00000000-0005-0000-0000-0000A2030000}"/>
    <cellStyle name="Percentuale 16 3" xfId="931" xr:uid="{00000000-0005-0000-0000-0000A3030000}"/>
    <cellStyle name="Percentuale 17" xfId="932" xr:uid="{00000000-0005-0000-0000-0000A4030000}"/>
    <cellStyle name="Percentuale 17 2" xfId="933" xr:uid="{00000000-0005-0000-0000-0000A5030000}"/>
    <cellStyle name="Percentuale 17 3" xfId="934" xr:uid="{00000000-0005-0000-0000-0000A6030000}"/>
    <cellStyle name="Percentuale 18" xfId="935" xr:uid="{00000000-0005-0000-0000-0000A7030000}"/>
    <cellStyle name="Percentuale 18 2" xfId="936" xr:uid="{00000000-0005-0000-0000-0000A8030000}"/>
    <cellStyle name="Percentuale 18 3" xfId="937" xr:uid="{00000000-0005-0000-0000-0000A9030000}"/>
    <cellStyle name="Percentuale 19" xfId="938" xr:uid="{00000000-0005-0000-0000-0000AA030000}"/>
    <cellStyle name="Percentuale 19 2" xfId="939" xr:uid="{00000000-0005-0000-0000-0000AB030000}"/>
    <cellStyle name="Percentuale 19 3" xfId="940" xr:uid="{00000000-0005-0000-0000-0000AC030000}"/>
    <cellStyle name="Percentuale 2" xfId="941" xr:uid="{00000000-0005-0000-0000-0000AD030000}"/>
    <cellStyle name="Percentuale 2 2" xfId="942" xr:uid="{00000000-0005-0000-0000-0000AE030000}"/>
    <cellStyle name="Percentuale 2 3" xfId="943" xr:uid="{00000000-0005-0000-0000-0000AF030000}"/>
    <cellStyle name="Percentuale 2 4" xfId="944" xr:uid="{00000000-0005-0000-0000-0000B0030000}"/>
    <cellStyle name="Percentuale 2 5" xfId="945" xr:uid="{00000000-0005-0000-0000-0000B1030000}"/>
    <cellStyle name="Percentuale 20" xfId="946" xr:uid="{00000000-0005-0000-0000-0000B2030000}"/>
    <cellStyle name="Percentuale 20 2" xfId="947" xr:uid="{00000000-0005-0000-0000-0000B3030000}"/>
    <cellStyle name="Percentuale 20 3" xfId="948" xr:uid="{00000000-0005-0000-0000-0000B4030000}"/>
    <cellStyle name="Percentuale 21" xfId="949" xr:uid="{00000000-0005-0000-0000-0000B5030000}"/>
    <cellStyle name="Percentuale 21 2" xfId="950" xr:uid="{00000000-0005-0000-0000-0000B6030000}"/>
    <cellStyle name="Percentuale 21 3" xfId="951" xr:uid="{00000000-0005-0000-0000-0000B7030000}"/>
    <cellStyle name="Percentuale 22" xfId="952" xr:uid="{00000000-0005-0000-0000-0000B8030000}"/>
    <cellStyle name="Percentuale 22 2" xfId="953" xr:uid="{00000000-0005-0000-0000-0000B9030000}"/>
    <cellStyle name="Percentuale 22 3" xfId="954" xr:uid="{00000000-0005-0000-0000-0000BA030000}"/>
    <cellStyle name="Percentuale 23" xfId="955" xr:uid="{00000000-0005-0000-0000-0000BB030000}"/>
    <cellStyle name="Percentuale 23 2" xfId="956" xr:uid="{00000000-0005-0000-0000-0000BC030000}"/>
    <cellStyle name="Percentuale 23 3" xfId="957" xr:uid="{00000000-0005-0000-0000-0000BD030000}"/>
    <cellStyle name="Percentuale 24" xfId="958" xr:uid="{00000000-0005-0000-0000-0000BE030000}"/>
    <cellStyle name="Percentuale 24 2" xfId="959" xr:uid="{00000000-0005-0000-0000-0000BF030000}"/>
    <cellStyle name="Percentuale 24 3" xfId="960" xr:uid="{00000000-0005-0000-0000-0000C0030000}"/>
    <cellStyle name="Percentuale 25" xfId="961" xr:uid="{00000000-0005-0000-0000-0000C1030000}"/>
    <cellStyle name="Percentuale 25 2" xfId="962" xr:uid="{00000000-0005-0000-0000-0000C2030000}"/>
    <cellStyle name="Percentuale 25 3" xfId="963" xr:uid="{00000000-0005-0000-0000-0000C3030000}"/>
    <cellStyle name="Percentuale 26" xfId="964" xr:uid="{00000000-0005-0000-0000-0000C4030000}"/>
    <cellStyle name="Percentuale 26 2" xfId="965" xr:uid="{00000000-0005-0000-0000-0000C5030000}"/>
    <cellStyle name="Percentuale 26 3" xfId="966" xr:uid="{00000000-0005-0000-0000-0000C6030000}"/>
    <cellStyle name="Percentuale 27" xfId="967" xr:uid="{00000000-0005-0000-0000-0000C7030000}"/>
    <cellStyle name="Percentuale 27 2" xfId="968" xr:uid="{00000000-0005-0000-0000-0000C8030000}"/>
    <cellStyle name="Percentuale 28" xfId="969" xr:uid="{00000000-0005-0000-0000-0000C9030000}"/>
    <cellStyle name="Percentuale 28 2" xfId="970" xr:uid="{00000000-0005-0000-0000-0000CA030000}"/>
    <cellStyle name="Percentuale 29" xfId="971" xr:uid="{00000000-0005-0000-0000-0000CB030000}"/>
    <cellStyle name="Percentuale 29 2" xfId="972" xr:uid="{00000000-0005-0000-0000-0000CC030000}"/>
    <cellStyle name="Percentuale 3" xfId="973" xr:uid="{00000000-0005-0000-0000-0000CD030000}"/>
    <cellStyle name="Percentuale 3 2" xfId="974" xr:uid="{00000000-0005-0000-0000-0000CE030000}"/>
    <cellStyle name="Percentuale 3 3" xfId="975" xr:uid="{00000000-0005-0000-0000-0000CF030000}"/>
    <cellStyle name="Percentuale 3 3 2" xfId="976" xr:uid="{00000000-0005-0000-0000-0000D0030000}"/>
    <cellStyle name="Percentuale 30" xfId="977" xr:uid="{00000000-0005-0000-0000-0000D1030000}"/>
    <cellStyle name="Percentuale 30 2" xfId="978" xr:uid="{00000000-0005-0000-0000-0000D2030000}"/>
    <cellStyle name="Percentuale 31" xfId="979" xr:uid="{00000000-0005-0000-0000-0000D3030000}"/>
    <cellStyle name="Percentuale 31 2" xfId="980" xr:uid="{00000000-0005-0000-0000-0000D4030000}"/>
    <cellStyle name="Percentuale 32" xfId="981" xr:uid="{00000000-0005-0000-0000-0000D5030000}"/>
    <cellStyle name="Percentuale 32 2" xfId="982" xr:uid="{00000000-0005-0000-0000-0000D6030000}"/>
    <cellStyle name="Percentuale 33" xfId="983" xr:uid="{00000000-0005-0000-0000-0000D7030000}"/>
    <cellStyle name="Percentuale 33 2" xfId="984" xr:uid="{00000000-0005-0000-0000-0000D8030000}"/>
    <cellStyle name="Percentuale 34" xfId="985" xr:uid="{00000000-0005-0000-0000-0000D9030000}"/>
    <cellStyle name="Percentuale 34 2" xfId="986" xr:uid="{00000000-0005-0000-0000-0000DA030000}"/>
    <cellStyle name="Percentuale 35" xfId="987" xr:uid="{00000000-0005-0000-0000-0000DB030000}"/>
    <cellStyle name="Percentuale 35 2" xfId="988" xr:uid="{00000000-0005-0000-0000-0000DC030000}"/>
    <cellStyle name="Percentuale 36" xfId="989" xr:uid="{00000000-0005-0000-0000-0000DD030000}"/>
    <cellStyle name="Percentuale 36 2" xfId="990" xr:uid="{00000000-0005-0000-0000-0000DE030000}"/>
    <cellStyle name="Percentuale 37" xfId="991" xr:uid="{00000000-0005-0000-0000-0000DF030000}"/>
    <cellStyle name="Percentuale 37 2" xfId="992" xr:uid="{00000000-0005-0000-0000-0000E0030000}"/>
    <cellStyle name="Percentuale 38" xfId="993" xr:uid="{00000000-0005-0000-0000-0000E1030000}"/>
    <cellStyle name="Percentuale 38 2" xfId="994" xr:uid="{00000000-0005-0000-0000-0000E2030000}"/>
    <cellStyle name="Percentuale 39" xfId="995" xr:uid="{00000000-0005-0000-0000-0000E3030000}"/>
    <cellStyle name="Percentuale 39 2" xfId="996" xr:uid="{00000000-0005-0000-0000-0000E4030000}"/>
    <cellStyle name="Percentuale 4" xfId="997" xr:uid="{00000000-0005-0000-0000-0000E5030000}"/>
    <cellStyle name="Percentuale 4 2" xfId="998" xr:uid="{00000000-0005-0000-0000-0000E6030000}"/>
    <cellStyle name="Percentuale 4 3" xfId="999" xr:uid="{00000000-0005-0000-0000-0000E7030000}"/>
    <cellStyle name="Percentuale 4 4" xfId="1000" xr:uid="{00000000-0005-0000-0000-0000E8030000}"/>
    <cellStyle name="Percentuale 40" xfId="1001" xr:uid="{00000000-0005-0000-0000-0000E9030000}"/>
    <cellStyle name="Percentuale 40 2" xfId="1002" xr:uid="{00000000-0005-0000-0000-0000EA030000}"/>
    <cellStyle name="Percentuale 41" xfId="1003" xr:uid="{00000000-0005-0000-0000-0000EB030000}"/>
    <cellStyle name="Percentuale 41 2" xfId="1004" xr:uid="{00000000-0005-0000-0000-0000EC030000}"/>
    <cellStyle name="Percentuale 42" xfId="1005" xr:uid="{00000000-0005-0000-0000-0000ED030000}"/>
    <cellStyle name="Percentuale 42 2" xfId="1006" xr:uid="{00000000-0005-0000-0000-0000EE030000}"/>
    <cellStyle name="Percentuale 43" xfId="1007" xr:uid="{00000000-0005-0000-0000-0000EF030000}"/>
    <cellStyle name="Percentuale 43 2" xfId="1008" xr:uid="{00000000-0005-0000-0000-0000F0030000}"/>
    <cellStyle name="Percentuale 44" xfId="1009" xr:uid="{00000000-0005-0000-0000-0000F1030000}"/>
    <cellStyle name="Percentuale 44 2" xfId="1010" xr:uid="{00000000-0005-0000-0000-0000F2030000}"/>
    <cellStyle name="Percentuale 45" xfId="1011" xr:uid="{00000000-0005-0000-0000-0000F3030000}"/>
    <cellStyle name="Percentuale 45 2" xfId="1012" xr:uid="{00000000-0005-0000-0000-0000F4030000}"/>
    <cellStyle name="Percentuale 46" xfId="1013" xr:uid="{00000000-0005-0000-0000-0000F5030000}"/>
    <cellStyle name="Percentuale 46 2" xfId="1014" xr:uid="{00000000-0005-0000-0000-0000F6030000}"/>
    <cellStyle name="Percentuale 47" xfId="1015" xr:uid="{00000000-0005-0000-0000-0000F7030000}"/>
    <cellStyle name="Percentuale 47 2" xfId="1016" xr:uid="{00000000-0005-0000-0000-0000F8030000}"/>
    <cellStyle name="Percentuale 48" xfId="1017" xr:uid="{00000000-0005-0000-0000-0000F9030000}"/>
    <cellStyle name="Percentuale 48 2" xfId="1018" xr:uid="{00000000-0005-0000-0000-0000FA030000}"/>
    <cellStyle name="Percentuale 49" xfId="1019" xr:uid="{00000000-0005-0000-0000-0000FB030000}"/>
    <cellStyle name="Percentuale 49 2" xfId="1020" xr:uid="{00000000-0005-0000-0000-0000FC030000}"/>
    <cellStyle name="Percentuale 5" xfId="1021" xr:uid="{00000000-0005-0000-0000-0000FD030000}"/>
    <cellStyle name="Percentuale 5 2" xfId="1022" xr:uid="{00000000-0005-0000-0000-0000FE030000}"/>
    <cellStyle name="Percentuale 5 3" xfId="1023" xr:uid="{00000000-0005-0000-0000-0000FF030000}"/>
    <cellStyle name="Percentuale 50" xfId="1024" xr:uid="{00000000-0005-0000-0000-000000040000}"/>
    <cellStyle name="Percentuale 50 2" xfId="1025" xr:uid="{00000000-0005-0000-0000-000001040000}"/>
    <cellStyle name="Percentuale 51" xfId="1026" xr:uid="{00000000-0005-0000-0000-000002040000}"/>
    <cellStyle name="Percentuale 51 2" xfId="1027" xr:uid="{00000000-0005-0000-0000-000003040000}"/>
    <cellStyle name="Percentuale 52" xfId="1028" xr:uid="{00000000-0005-0000-0000-000004040000}"/>
    <cellStyle name="Percentuale 52 2" xfId="1029" xr:uid="{00000000-0005-0000-0000-000005040000}"/>
    <cellStyle name="Percentuale 53" xfId="1030" xr:uid="{00000000-0005-0000-0000-000006040000}"/>
    <cellStyle name="Percentuale 53 2" xfId="1031" xr:uid="{00000000-0005-0000-0000-000007040000}"/>
    <cellStyle name="Percentuale 54" xfId="1032" xr:uid="{00000000-0005-0000-0000-000008040000}"/>
    <cellStyle name="Percentuale 54 2" xfId="1033" xr:uid="{00000000-0005-0000-0000-000009040000}"/>
    <cellStyle name="Percentuale 55" xfId="1034" xr:uid="{00000000-0005-0000-0000-00000A040000}"/>
    <cellStyle name="Percentuale 55 2" xfId="1035" xr:uid="{00000000-0005-0000-0000-00000B040000}"/>
    <cellStyle name="Percentuale 56" xfId="1036" xr:uid="{00000000-0005-0000-0000-00000C040000}"/>
    <cellStyle name="Percentuale 56 2" xfId="1037" xr:uid="{00000000-0005-0000-0000-00000D040000}"/>
    <cellStyle name="Percentuale 57" xfId="1038" xr:uid="{00000000-0005-0000-0000-00000E040000}"/>
    <cellStyle name="Percentuale 57 2" xfId="1039" xr:uid="{00000000-0005-0000-0000-00000F040000}"/>
    <cellStyle name="Percentuale 58" xfId="1040" xr:uid="{00000000-0005-0000-0000-000010040000}"/>
    <cellStyle name="Percentuale 58 2" xfId="1041" xr:uid="{00000000-0005-0000-0000-000011040000}"/>
    <cellStyle name="Percentuale 59" xfId="1042" xr:uid="{00000000-0005-0000-0000-000012040000}"/>
    <cellStyle name="Percentuale 59 2" xfId="1043" xr:uid="{00000000-0005-0000-0000-000013040000}"/>
    <cellStyle name="Percentuale 6" xfId="1044" xr:uid="{00000000-0005-0000-0000-000014040000}"/>
    <cellStyle name="Percentuale 60" xfId="1045" xr:uid="{00000000-0005-0000-0000-000015040000}"/>
    <cellStyle name="Percentuale 60 2" xfId="1046" xr:uid="{00000000-0005-0000-0000-000016040000}"/>
    <cellStyle name="Percentuale 61" xfId="1047" xr:uid="{00000000-0005-0000-0000-000017040000}"/>
    <cellStyle name="Percentuale 61 2" xfId="1048" xr:uid="{00000000-0005-0000-0000-000018040000}"/>
    <cellStyle name="Percentuale 62" xfId="1049" xr:uid="{00000000-0005-0000-0000-000019040000}"/>
    <cellStyle name="Percentuale 62 2" xfId="1050" xr:uid="{00000000-0005-0000-0000-00001A040000}"/>
    <cellStyle name="Percentuale 63" xfId="1051" xr:uid="{00000000-0005-0000-0000-00001B040000}"/>
    <cellStyle name="Percentuale 63 2" xfId="1052" xr:uid="{00000000-0005-0000-0000-00001C040000}"/>
    <cellStyle name="Percentuale 64" xfId="1053" xr:uid="{00000000-0005-0000-0000-00001D040000}"/>
    <cellStyle name="Percentuale 64 2" xfId="1054" xr:uid="{00000000-0005-0000-0000-00001E040000}"/>
    <cellStyle name="Percentuale 65" xfId="1055" xr:uid="{00000000-0005-0000-0000-00001F040000}"/>
    <cellStyle name="Percentuale 65 2" xfId="1056" xr:uid="{00000000-0005-0000-0000-000020040000}"/>
    <cellStyle name="Percentuale 66" xfId="1057" xr:uid="{00000000-0005-0000-0000-000021040000}"/>
    <cellStyle name="Percentuale 66 2" xfId="1058" xr:uid="{00000000-0005-0000-0000-000022040000}"/>
    <cellStyle name="Percentuale 67" xfId="1059" xr:uid="{00000000-0005-0000-0000-000023040000}"/>
    <cellStyle name="Percentuale 67 2" xfId="1060" xr:uid="{00000000-0005-0000-0000-000024040000}"/>
    <cellStyle name="Percentuale 68" xfId="1061" xr:uid="{00000000-0005-0000-0000-000025040000}"/>
    <cellStyle name="Percentuale 68 2" xfId="1062" xr:uid="{00000000-0005-0000-0000-000026040000}"/>
    <cellStyle name="Percentuale 68 3" xfId="1063" xr:uid="{00000000-0005-0000-0000-000027040000}"/>
    <cellStyle name="Percentuale 69" xfId="1064" xr:uid="{00000000-0005-0000-0000-000028040000}"/>
    <cellStyle name="Percentuale 69 2" xfId="1065" xr:uid="{00000000-0005-0000-0000-000029040000}"/>
    <cellStyle name="Percentuale 69 3" xfId="1066" xr:uid="{00000000-0005-0000-0000-00002A040000}"/>
    <cellStyle name="Percentuale 7" xfId="1067" xr:uid="{00000000-0005-0000-0000-00002B040000}"/>
    <cellStyle name="Percentuale 70" xfId="1068" xr:uid="{00000000-0005-0000-0000-00002C040000}"/>
    <cellStyle name="Percentuale 70 2" xfId="1069" xr:uid="{00000000-0005-0000-0000-00002D040000}"/>
    <cellStyle name="Percentuale 70 3" xfId="1070" xr:uid="{00000000-0005-0000-0000-00002E040000}"/>
    <cellStyle name="Percentuale 71" xfId="1071" xr:uid="{00000000-0005-0000-0000-00002F040000}"/>
    <cellStyle name="Percentuale 71 2" xfId="1072" xr:uid="{00000000-0005-0000-0000-000030040000}"/>
    <cellStyle name="Percentuale 71 3" xfId="1073" xr:uid="{00000000-0005-0000-0000-000031040000}"/>
    <cellStyle name="Percentuale 72" xfId="1074" xr:uid="{00000000-0005-0000-0000-000032040000}"/>
    <cellStyle name="Percentuale 72 2" xfId="1075" xr:uid="{00000000-0005-0000-0000-000033040000}"/>
    <cellStyle name="Percentuale 72 3" xfId="1076" xr:uid="{00000000-0005-0000-0000-000034040000}"/>
    <cellStyle name="Percentuale 73" xfId="1077" xr:uid="{00000000-0005-0000-0000-000035040000}"/>
    <cellStyle name="Percentuale 73 2" xfId="1078" xr:uid="{00000000-0005-0000-0000-000036040000}"/>
    <cellStyle name="Percentuale 73 3" xfId="1079" xr:uid="{00000000-0005-0000-0000-000037040000}"/>
    <cellStyle name="Percentuale 74" xfId="1080" xr:uid="{00000000-0005-0000-0000-000038040000}"/>
    <cellStyle name="Percentuale 74 2" xfId="1081" xr:uid="{00000000-0005-0000-0000-000039040000}"/>
    <cellStyle name="Percentuale 74 3" xfId="1082" xr:uid="{00000000-0005-0000-0000-00003A040000}"/>
    <cellStyle name="Percentuale 75" xfId="1083" xr:uid="{00000000-0005-0000-0000-00003B040000}"/>
    <cellStyle name="Percentuale 75 2" xfId="1084" xr:uid="{00000000-0005-0000-0000-00003C040000}"/>
    <cellStyle name="Percentuale 76" xfId="1085" xr:uid="{00000000-0005-0000-0000-00003D040000}"/>
    <cellStyle name="Percentuale 76 2" xfId="1086" xr:uid="{00000000-0005-0000-0000-00003E040000}"/>
    <cellStyle name="Percentuale 77" xfId="1087" xr:uid="{00000000-0005-0000-0000-00003F040000}"/>
    <cellStyle name="Percentuale 77 2" xfId="1088" xr:uid="{00000000-0005-0000-0000-000040040000}"/>
    <cellStyle name="Percentuale 78" xfId="1089" xr:uid="{00000000-0005-0000-0000-000041040000}"/>
    <cellStyle name="Percentuale 78 2" xfId="1090" xr:uid="{00000000-0005-0000-0000-000042040000}"/>
    <cellStyle name="Percentuale 79" xfId="1091" xr:uid="{00000000-0005-0000-0000-000043040000}"/>
    <cellStyle name="Percentuale 79 2" xfId="1092" xr:uid="{00000000-0005-0000-0000-000044040000}"/>
    <cellStyle name="Percentuale 8" xfId="1093" xr:uid="{00000000-0005-0000-0000-000045040000}"/>
    <cellStyle name="Percentuale 80" xfId="1094" xr:uid="{00000000-0005-0000-0000-000046040000}"/>
    <cellStyle name="Percentuale 80 2" xfId="1095" xr:uid="{00000000-0005-0000-0000-000047040000}"/>
    <cellStyle name="Percentuale 81" xfId="1096" xr:uid="{00000000-0005-0000-0000-000048040000}"/>
    <cellStyle name="Percentuale 82" xfId="1097" xr:uid="{00000000-0005-0000-0000-000049040000}"/>
    <cellStyle name="Percentuale 83" xfId="1098" xr:uid="{00000000-0005-0000-0000-00004A040000}"/>
    <cellStyle name="Percentuale 84" xfId="1099" xr:uid="{00000000-0005-0000-0000-00004B040000}"/>
    <cellStyle name="Percentuale 85" xfId="1100" xr:uid="{00000000-0005-0000-0000-00004C040000}"/>
    <cellStyle name="Percentuale 86" xfId="1101" xr:uid="{00000000-0005-0000-0000-00004D040000}"/>
    <cellStyle name="Percentuale 87" xfId="1102" xr:uid="{00000000-0005-0000-0000-00004E040000}"/>
    <cellStyle name="Percentuale 9" xfId="1103" xr:uid="{00000000-0005-0000-0000-00004F040000}"/>
    <cellStyle name="Percentuale(0)" xfId="1104" xr:uid="{00000000-0005-0000-0000-000050040000}"/>
    <cellStyle name="Percentuale(0,0)" xfId="1105" xr:uid="{00000000-0005-0000-0000-000051040000}"/>
    <cellStyle name="Pf / kWh" xfId="1106" xr:uid="{00000000-0005-0000-0000-000052040000}"/>
    <cellStyle name="Porcentual_CAPEX_Acea_Alcatel_2505" xfId="1107" xr:uid="{00000000-0005-0000-0000-000053040000}"/>
    <cellStyle name="pound" xfId="1108" xr:uid="{00000000-0005-0000-0000-000054040000}"/>
    <cellStyle name="prezzi" xfId="1109" xr:uid="{00000000-0005-0000-0000-000055040000}"/>
    <cellStyle name="PROJECT" xfId="1110" xr:uid="{00000000-0005-0000-0000-000056040000}"/>
    <cellStyle name="PROJECT R" xfId="1111" xr:uid="{00000000-0005-0000-0000-000057040000}"/>
    <cellStyle name="PROJECT_AU 2411 2010" xfId="1112" xr:uid="{00000000-0005-0000-0000-000058040000}"/>
    <cellStyle name="Puntato" xfId="1113" xr:uid="{00000000-0005-0000-0000-000059040000}"/>
    <cellStyle name="ReadOnlyCell" xfId="1114" xr:uid="{00000000-0005-0000-0000-00005A040000}"/>
    <cellStyle name="RowLabels" xfId="1115" xr:uid="{00000000-0005-0000-0000-00005B040000}"/>
    <cellStyle name="Salomon Logo" xfId="1116" xr:uid="{00000000-0005-0000-0000-00005C040000}"/>
    <cellStyle name="Salomon Logo 2" xfId="1117" xr:uid="{00000000-0005-0000-0000-00005D040000}"/>
    <cellStyle name="SAPBEXaggData" xfId="1118" xr:uid="{00000000-0005-0000-0000-00005E040000}"/>
    <cellStyle name="SAPBEXaggDataEmph" xfId="1119" xr:uid="{00000000-0005-0000-0000-00005F040000}"/>
    <cellStyle name="SAPBEXaggItem" xfId="1120" xr:uid="{00000000-0005-0000-0000-000060040000}"/>
    <cellStyle name="SAPBEXchaText" xfId="1121" xr:uid="{00000000-0005-0000-0000-000061040000}"/>
    <cellStyle name="SAPBEXexcBad7" xfId="1122" xr:uid="{00000000-0005-0000-0000-000062040000}"/>
    <cellStyle name="SAPBEXexcBad8" xfId="1123" xr:uid="{00000000-0005-0000-0000-000063040000}"/>
    <cellStyle name="SAPBEXexcBad9" xfId="1124" xr:uid="{00000000-0005-0000-0000-000064040000}"/>
    <cellStyle name="SAPBEXexcCritical4" xfId="1125" xr:uid="{00000000-0005-0000-0000-000065040000}"/>
    <cellStyle name="SAPBEXexcCritical5" xfId="1126" xr:uid="{00000000-0005-0000-0000-000066040000}"/>
    <cellStyle name="SAPBEXexcCritical6" xfId="1127" xr:uid="{00000000-0005-0000-0000-000067040000}"/>
    <cellStyle name="SAPBEXexcGood1" xfId="1128" xr:uid="{00000000-0005-0000-0000-000068040000}"/>
    <cellStyle name="SAPBEXexcGood2" xfId="1129" xr:uid="{00000000-0005-0000-0000-000069040000}"/>
    <cellStyle name="SAPBEXexcGood3" xfId="1130" xr:uid="{00000000-0005-0000-0000-00006A040000}"/>
    <cellStyle name="SAPBEXfilterDrill" xfId="1131" xr:uid="{00000000-0005-0000-0000-00006B040000}"/>
    <cellStyle name="SAPBEXfilterItem" xfId="1132" xr:uid="{00000000-0005-0000-0000-00006C040000}"/>
    <cellStyle name="SAPBEXfilterText" xfId="1133" xr:uid="{00000000-0005-0000-0000-00006D040000}"/>
    <cellStyle name="SAPBEXformats" xfId="1134" xr:uid="{00000000-0005-0000-0000-00006E040000}"/>
    <cellStyle name="SAPBEXheaderItem" xfId="1135" xr:uid="{00000000-0005-0000-0000-00006F040000}"/>
    <cellStyle name="SAPBEXheaderItem 2" xfId="1136" xr:uid="{00000000-0005-0000-0000-000070040000}"/>
    <cellStyle name="SAPBEXheaderText" xfId="1137" xr:uid="{00000000-0005-0000-0000-000071040000}"/>
    <cellStyle name="SAPBEXheaderText 2" xfId="1138" xr:uid="{00000000-0005-0000-0000-000072040000}"/>
    <cellStyle name="SAPBEXresData" xfId="1139" xr:uid="{00000000-0005-0000-0000-000073040000}"/>
    <cellStyle name="SAPBEXresDataEmph" xfId="1140" xr:uid="{00000000-0005-0000-0000-000074040000}"/>
    <cellStyle name="SAPBEXresItem" xfId="1141" xr:uid="{00000000-0005-0000-0000-000075040000}"/>
    <cellStyle name="SAPBEXstdData" xfId="1142" xr:uid="{00000000-0005-0000-0000-000076040000}"/>
    <cellStyle name="SAPBEXstdDataEmph" xfId="1143" xr:uid="{00000000-0005-0000-0000-000077040000}"/>
    <cellStyle name="SAPBEXstdItem" xfId="1144" xr:uid="{00000000-0005-0000-0000-000078040000}"/>
    <cellStyle name="SAPBEXtitle" xfId="1145" xr:uid="{00000000-0005-0000-0000-000079040000}"/>
    <cellStyle name="SAPBEXundefined" xfId="1146" xr:uid="{00000000-0005-0000-0000-00007A040000}"/>
    <cellStyle name="Sbloccato" xfId="1147" xr:uid="{00000000-0005-0000-0000-00007B040000}"/>
    <cellStyle name="SEM-BPS-data" xfId="1148" xr:uid="{00000000-0005-0000-0000-00007C040000}"/>
    <cellStyle name="SEM-BPS-head" xfId="1149" xr:uid="{00000000-0005-0000-0000-00007D040000}"/>
    <cellStyle name="SEM-BPS-headdata" xfId="1150" xr:uid="{00000000-0005-0000-0000-00007E040000}"/>
    <cellStyle name="SEM-BPS-headkey" xfId="1151" xr:uid="{00000000-0005-0000-0000-00007F040000}"/>
    <cellStyle name="SEM-BPS-input-on" xfId="1152" xr:uid="{00000000-0005-0000-0000-000080040000}"/>
    <cellStyle name="SEM-BPS-key" xfId="1153" xr:uid="{00000000-0005-0000-0000-000081040000}"/>
    <cellStyle name="SEM-BPS-total" xfId="1154" xr:uid="{00000000-0005-0000-0000-000082040000}"/>
    <cellStyle name="Shade" xfId="1155" xr:uid="{00000000-0005-0000-0000-000083040000}"/>
    <cellStyle name="Shade 2" xfId="1156" xr:uid="{00000000-0005-0000-0000-000084040000}"/>
    <cellStyle name="Shares" xfId="1157" xr:uid="{00000000-0005-0000-0000-000085040000}"/>
    <cellStyle name="Sheet Header" xfId="1158" xr:uid="{00000000-0005-0000-0000-000086040000}"/>
    <cellStyle name="small" xfId="1159" xr:uid="{00000000-0005-0000-0000-000087040000}"/>
    <cellStyle name="Sottot" xfId="1160" xr:uid="{00000000-0005-0000-0000-000088040000}"/>
    <cellStyle name="Sottotit 1" xfId="1161" xr:uid="{00000000-0005-0000-0000-000089040000}"/>
    <cellStyle name="sottotit_tabella" xfId="1162" xr:uid="{00000000-0005-0000-0000-00008A040000}"/>
    <cellStyle name="SQL_STR" xfId="1163" xr:uid="{00000000-0005-0000-0000-00008B040000}"/>
    <cellStyle name="Standard 2" xfId="1164" xr:uid="{00000000-0005-0000-0000-00008C040000}"/>
    <cellStyle name="Standard_~0027840" xfId="1165" xr:uid="{00000000-0005-0000-0000-00008D040000}"/>
    <cellStyle name="Stile 1" xfId="1166" xr:uid="{00000000-0005-0000-0000-00008E040000}"/>
    <cellStyle name="Stile 1 2" xfId="1167" xr:uid="{00000000-0005-0000-0000-00008F040000}"/>
    <cellStyle name="Stile 1 3" xfId="1168" xr:uid="{00000000-0005-0000-0000-000090040000}"/>
    <cellStyle name="Style 1" xfId="1169" xr:uid="{00000000-0005-0000-0000-000091040000}"/>
    <cellStyle name="Style 1 2" xfId="1170" xr:uid="{00000000-0005-0000-0000-000092040000}"/>
    <cellStyle name="Style 1 3" xfId="1171" xr:uid="{00000000-0005-0000-0000-000093040000}"/>
    <cellStyle name="Subtitle" xfId="1172" xr:uid="{00000000-0005-0000-0000-000094040000}"/>
    <cellStyle name="swpBody01" xfId="1173" xr:uid="{00000000-0005-0000-0000-000095040000}"/>
    <cellStyle name="swpBodyClean" xfId="1174" xr:uid="{00000000-0005-0000-0000-000096040000}"/>
    <cellStyle name="swpBodyFirstCol" xfId="1175" xr:uid="{00000000-0005-0000-0000-000097040000}"/>
    <cellStyle name="swpCaption" xfId="1176" xr:uid="{00000000-0005-0000-0000-000098040000}"/>
    <cellStyle name="swpClear" xfId="1177" xr:uid="{00000000-0005-0000-0000-000099040000}"/>
    <cellStyle name="swpDatum_english" xfId="1178" xr:uid="{00000000-0005-0000-0000-00009A040000}"/>
    <cellStyle name="swpHBBookTitle" xfId="1179" xr:uid="{00000000-0005-0000-0000-00009B040000}"/>
    <cellStyle name="swpHBChapterTitle" xfId="1180" xr:uid="{00000000-0005-0000-0000-00009C040000}"/>
    <cellStyle name="swpHead01" xfId="1181" xr:uid="{00000000-0005-0000-0000-00009D040000}"/>
    <cellStyle name="swpHead01R" xfId="1182" xr:uid="{00000000-0005-0000-0000-00009E040000}"/>
    <cellStyle name="swpHead02" xfId="1183" xr:uid="{00000000-0005-0000-0000-00009F040000}"/>
    <cellStyle name="swpHead02R" xfId="1184" xr:uid="{00000000-0005-0000-0000-0000A0040000}"/>
    <cellStyle name="swpHead03" xfId="1185" xr:uid="{00000000-0005-0000-0000-0000A1040000}"/>
    <cellStyle name="swpHead03R" xfId="1186" xr:uid="{00000000-0005-0000-0000-0000A2040000}"/>
    <cellStyle name="swpHeadBraL" xfId="1187" xr:uid="{00000000-0005-0000-0000-0000A3040000}"/>
    <cellStyle name="swpHeadBraM" xfId="1188" xr:uid="{00000000-0005-0000-0000-0000A4040000}"/>
    <cellStyle name="swpHeadBraR" xfId="1189" xr:uid="{00000000-0005-0000-0000-0000A5040000}"/>
    <cellStyle name="swpTag" xfId="1190" xr:uid="{00000000-0005-0000-0000-0000A6040000}"/>
    <cellStyle name="swpTotals" xfId="1191" xr:uid="{00000000-0005-0000-0000-0000A7040000}"/>
    <cellStyle name="swpTotalsNo" xfId="1192" xr:uid="{00000000-0005-0000-0000-0000A8040000}"/>
    <cellStyle name="swpTotalsNo 2" xfId="1193" xr:uid="{00000000-0005-0000-0000-0000A9040000}"/>
    <cellStyle name="swpTotalsTotal" xfId="1194" xr:uid="{00000000-0005-0000-0000-0000AA040000}"/>
    <cellStyle name="swpTotalsTotal 2" xfId="1195" xr:uid="{00000000-0005-0000-0000-0000AB040000}"/>
    <cellStyle name="swpTotalsTotal 3" xfId="1196" xr:uid="{00000000-0005-0000-0000-0000AC040000}"/>
    <cellStyle name="Synopsis" xfId="1197" xr:uid="{00000000-0005-0000-0000-0000AD040000}"/>
    <cellStyle name="Synopsis 2" xfId="1198" xr:uid="{00000000-0005-0000-0000-0000AE040000}"/>
    <cellStyle name="Synopsis 3" xfId="1199" xr:uid="{00000000-0005-0000-0000-0000AF040000}"/>
    <cellStyle name="Synopsis_Tabella INPUT" xfId="1200" xr:uid="{00000000-0005-0000-0000-0000B0040000}"/>
    <cellStyle name="Table Head" xfId="1201" xr:uid="{00000000-0005-0000-0000-0000B1040000}"/>
    <cellStyle name="Table Head 2" xfId="1202" xr:uid="{00000000-0005-0000-0000-0000B2040000}"/>
    <cellStyle name="Table Head 3" xfId="1203" xr:uid="{00000000-0005-0000-0000-0000B3040000}"/>
    <cellStyle name="Table Head Aligned" xfId="1204" xr:uid="{00000000-0005-0000-0000-0000B4040000}"/>
    <cellStyle name="Table Head Aligned 2" xfId="1205" xr:uid="{00000000-0005-0000-0000-0000B5040000}"/>
    <cellStyle name="Table Head Aligned 2 2" xfId="1206" xr:uid="{00000000-0005-0000-0000-0000B6040000}"/>
    <cellStyle name="Table Head Aligned 2 3" xfId="1207" xr:uid="{00000000-0005-0000-0000-0000B7040000}"/>
    <cellStyle name="Table Head Aligned 3" xfId="1208" xr:uid="{00000000-0005-0000-0000-0000B8040000}"/>
    <cellStyle name="Table Head Aligned 3 2" xfId="1209" xr:uid="{00000000-0005-0000-0000-0000B9040000}"/>
    <cellStyle name="Table Head Aligned 3 3" xfId="1210" xr:uid="{00000000-0005-0000-0000-0000BA040000}"/>
    <cellStyle name="Table Head Aligned 4" xfId="1211" xr:uid="{00000000-0005-0000-0000-0000BB040000}"/>
    <cellStyle name="Table Head Aligned 5" xfId="1212" xr:uid="{00000000-0005-0000-0000-0000BC040000}"/>
    <cellStyle name="Table Head Blue" xfId="1213" xr:uid="{00000000-0005-0000-0000-0000BD040000}"/>
    <cellStyle name="Table Head Blue 2" xfId="1214" xr:uid="{00000000-0005-0000-0000-0000BE040000}"/>
    <cellStyle name="Table Head Blue 3" xfId="1215" xr:uid="{00000000-0005-0000-0000-0000BF040000}"/>
    <cellStyle name="Table Head Green" xfId="1216" xr:uid="{00000000-0005-0000-0000-0000C0040000}"/>
    <cellStyle name="Table Head Green 2" xfId="1217" xr:uid="{00000000-0005-0000-0000-0000C1040000}"/>
    <cellStyle name="Table Head Green 2 2" xfId="1218" xr:uid="{00000000-0005-0000-0000-0000C2040000}"/>
    <cellStyle name="Table Head Green 2 3" xfId="1219" xr:uid="{00000000-0005-0000-0000-0000C3040000}"/>
    <cellStyle name="Table Head Green 3" xfId="1220" xr:uid="{00000000-0005-0000-0000-0000C4040000}"/>
    <cellStyle name="Table Head Green 3 2" xfId="1221" xr:uid="{00000000-0005-0000-0000-0000C5040000}"/>
    <cellStyle name="Table Head Green 3 3" xfId="1222" xr:uid="{00000000-0005-0000-0000-0000C6040000}"/>
    <cellStyle name="Table Head Green 4" xfId="1223" xr:uid="{00000000-0005-0000-0000-0000C7040000}"/>
    <cellStyle name="Table Head Green 5" xfId="1224" xr:uid="{00000000-0005-0000-0000-0000C8040000}"/>
    <cellStyle name="Table Head_AU 2411 2010" xfId="1225" xr:uid="{00000000-0005-0000-0000-0000C9040000}"/>
    <cellStyle name="Table Text" xfId="1226" xr:uid="{00000000-0005-0000-0000-0000CA040000}"/>
    <cellStyle name="Table Text 2" xfId="1227" xr:uid="{00000000-0005-0000-0000-0000CB040000}"/>
    <cellStyle name="Table Title" xfId="1228" xr:uid="{00000000-0005-0000-0000-0000CC040000}"/>
    <cellStyle name="Table Title 2" xfId="1229" xr:uid="{00000000-0005-0000-0000-0000CD040000}"/>
    <cellStyle name="Table Title 3" xfId="1230" xr:uid="{00000000-0005-0000-0000-0000CE040000}"/>
    <cellStyle name="Table Units" xfId="1231" xr:uid="{00000000-0005-0000-0000-0000CF040000}"/>
    <cellStyle name="Table Units 2" xfId="1232" xr:uid="{00000000-0005-0000-0000-0000D0040000}"/>
    <cellStyle name="Table Units 3" xfId="1233" xr:uid="{00000000-0005-0000-0000-0000D1040000}"/>
    <cellStyle name="Table_Header" xfId="1234" xr:uid="{00000000-0005-0000-0000-0000D2040000}"/>
    <cellStyle name="TableHead" xfId="1235" xr:uid="{00000000-0005-0000-0000-0000D3040000}"/>
    <cellStyle name="Testo avviso" xfId="1236" builtinId="11" customBuiltin="1"/>
    <cellStyle name="Testo avviso 2" xfId="1237" xr:uid="{00000000-0005-0000-0000-0000D5040000}"/>
    <cellStyle name="Testo descrittivo" xfId="1238" builtinId="53" customBuiltin="1"/>
    <cellStyle name="Testo descrittivo 2" xfId="1239" xr:uid="{00000000-0005-0000-0000-0000D7040000}"/>
    <cellStyle name="Text" xfId="1240" xr:uid="{00000000-0005-0000-0000-0000D8040000}"/>
    <cellStyle name="Text 1" xfId="1241" xr:uid="{00000000-0005-0000-0000-0000D9040000}"/>
    <cellStyle name="Text 1 2" xfId="1242" xr:uid="{00000000-0005-0000-0000-0000DA040000}"/>
    <cellStyle name="Text Head 1" xfId="1243" xr:uid="{00000000-0005-0000-0000-0000DB040000}"/>
    <cellStyle name="Text Head 1 2" xfId="1244" xr:uid="{00000000-0005-0000-0000-0000DC040000}"/>
    <cellStyle name="Tit_tabella" xfId="1245" xr:uid="{00000000-0005-0000-0000-0000DD040000}"/>
    <cellStyle name="Title" xfId="1246" xr:uid="{00000000-0005-0000-0000-0000DE040000}"/>
    <cellStyle name="Title 2" xfId="1247" xr:uid="{00000000-0005-0000-0000-0000DF040000}"/>
    <cellStyle name="TITOLETTO" xfId="1248" xr:uid="{00000000-0005-0000-0000-0000E0040000}"/>
    <cellStyle name="Titoli 1" xfId="1249" xr:uid="{00000000-0005-0000-0000-0000E1040000}"/>
    <cellStyle name="Titoli 2" xfId="1250" xr:uid="{00000000-0005-0000-0000-0000E2040000}"/>
    <cellStyle name="Titoli in corsivo" xfId="1251" xr:uid="{00000000-0005-0000-0000-0000E3040000}"/>
    <cellStyle name="Titolo" xfId="1252" builtinId="15" customBuiltin="1"/>
    <cellStyle name="Titolo 1" xfId="1253" builtinId="16" customBuiltin="1"/>
    <cellStyle name="Titolo 1 2" xfId="1254" xr:uid="{00000000-0005-0000-0000-0000E6040000}"/>
    <cellStyle name="Titolo 1 2 2" xfId="1255" xr:uid="{00000000-0005-0000-0000-0000E7040000}"/>
    <cellStyle name="Titolo 2" xfId="1256" builtinId="17" customBuiltin="1"/>
    <cellStyle name="Titolo 2 2" xfId="1257" xr:uid="{00000000-0005-0000-0000-0000E9040000}"/>
    <cellStyle name="Titolo 2 2 2" xfId="1258" xr:uid="{00000000-0005-0000-0000-0000EA040000}"/>
    <cellStyle name="Titolo 3" xfId="1259" builtinId="18" customBuiltin="1"/>
    <cellStyle name="Titolo 3 2" xfId="1260" xr:uid="{00000000-0005-0000-0000-0000EC040000}"/>
    <cellStyle name="Titolo 3 2 2" xfId="1261" xr:uid="{00000000-0005-0000-0000-0000ED040000}"/>
    <cellStyle name="Titolo 4" xfId="1262" builtinId="19" customBuiltin="1"/>
    <cellStyle name="Titolo 4 2" xfId="1263" xr:uid="{00000000-0005-0000-0000-0000EF040000}"/>
    <cellStyle name="Titolo 4 2 2" xfId="1264" xr:uid="{00000000-0005-0000-0000-0000F0040000}"/>
    <cellStyle name="Titolo 5" xfId="1265" xr:uid="{00000000-0005-0000-0000-0000F1040000}"/>
    <cellStyle name="Titolo 5 2" xfId="1266" xr:uid="{00000000-0005-0000-0000-0000F2040000}"/>
    <cellStyle name="Titre" xfId="1267" xr:uid="{00000000-0005-0000-0000-0000F3040000}"/>
    <cellStyle name="Total" xfId="1268" xr:uid="{00000000-0005-0000-0000-0000F4040000}"/>
    <cellStyle name="Total 2" xfId="1269" xr:uid="{00000000-0005-0000-0000-0000F5040000}"/>
    <cellStyle name="Total 3" xfId="1270" xr:uid="{00000000-0005-0000-0000-0000F6040000}"/>
    <cellStyle name="Totale" xfId="1271" builtinId="25" customBuiltin="1"/>
    <cellStyle name="Totale 2" xfId="1272" xr:uid="{00000000-0005-0000-0000-0000F8040000}"/>
    <cellStyle name="Totale 2 2" xfId="1273" xr:uid="{00000000-0005-0000-0000-0000F9040000}"/>
    <cellStyle name="Totale centrale" xfId="1274" xr:uid="{00000000-0005-0000-0000-0000FA040000}"/>
    <cellStyle name="Underline_Single" xfId="1275" xr:uid="{00000000-0005-0000-0000-0000FB040000}"/>
    <cellStyle name="Use_1dp" xfId="1276" xr:uid="{00000000-0005-0000-0000-0000FC040000}"/>
    <cellStyle name="Valore non valido" xfId="1277" builtinId="27" customBuiltin="1"/>
    <cellStyle name="Valore non valido 2" xfId="1278" xr:uid="{00000000-0005-0000-0000-0000FE040000}"/>
    <cellStyle name="Valore valido" xfId="1279" builtinId="26" customBuiltin="1"/>
    <cellStyle name="Valore valido 2" xfId="1280" xr:uid="{00000000-0005-0000-0000-000000050000}"/>
    <cellStyle name="Valuta (0)_ cellular Costs" xfId="1281" xr:uid="{00000000-0005-0000-0000-000001050000}"/>
    <cellStyle name="Valuta 2" xfId="1282" xr:uid="{00000000-0005-0000-0000-000002050000}"/>
    <cellStyle name="Valuta 2 2" xfId="1283" xr:uid="{00000000-0005-0000-0000-000003050000}"/>
    <cellStyle name="Währung [0]_99_alone_dec" xfId="1284" xr:uid="{00000000-0005-0000-0000-000004050000}"/>
    <cellStyle name="Währung_99_alone_dec" xfId="1285" xr:uid="{00000000-0005-0000-0000-000005050000}"/>
    <cellStyle name="Warning Text" xfId="1286" xr:uid="{00000000-0005-0000-0000-000006050000}"/>
    <cellStyle name="Warning Text 2" xfId="1287" xr:uid="{00000000-0005-0000-0000-000007050000}"/>
    <cellStyle name="Warning Text 3" xfId="1288" xr:uid="{00000000-0005-0000-0000-000008050000}"/>
    <cellStyle name="WindowBackground" xfId="1289" xr:uid="{00000000-0005-0000-0000-000009050000}"/>
    <cellStyle name="WP" xfId="1290" xr:uid="{00000000-0005-0000-0000-00000A050000}"/>
    <cellStyle name="x Men" xfId="1291" xr:uid="{00000000-0005-0000-0000-00000B050000}"/>
    <cellStyle name="year" xfId="1292" xr:uid="{00000000-0005-0000-0000-00000C050000}"/>
    <cellStyle name="year 2" xfId="1293" xr:uid="{00000000-0005-0000-0000-00000D050000}"/>
    <cellStyle name="year 2 2" xfId="1294" xr:uid="{00000000-0005-0000-0000-00000E050000}"/>
    <cellStyle name="year 2 3" xfId="1295" xr:uid="{00000000-0005-0000-0000-00000F050000}"/>
    <cellStyle name="year 3" xfId="1296" xr:uid="{00000000-0005-0000-0000-000010050000}"/>
    <cellStyle name="year 4" xfId="1297" xr:uid="{00000000-0005-0000-0000-000011050000}"/>
    <cellStyle name="Yen" xfId="1298" xr:uid="{00000000-0005-0000-0000-00001205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~1/CRISTI~2/IMPOST~1/Temp/7zO28.tmp/DEFINITIVO/CLIENTE%20TIPO.xls" TargetMode="External"/><Relationship Id="rId1" Type="http://schemas.openxmlformats.org/officeDocument/2006/relationships/externalLinkPath" Target="/DOCUME~1/CRISTI~2/IMPOST~1/Temp/7zO28.tmp/DEFINITIVO/CLIENTE%20TIPO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Tariffe/2016/APR-GIU%202016/ZZZ_CLIENTE_TIPO_01%2001%202016_rev17.xls" TargetMode="External"/><Relationship Id="rId1" Type="http://schemas.openxmlformats.org/officeDocument/2006/relationships/externalLinkPath" Target="/Tariffe/2016/APR-GIU%202016/ZZZ_CLIENTE_TIPO_01%2001%202016_rev17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~1/Deponte/IMPOST~1/Temp/SIMULATORE_aprile2009.xls" TargetMode="External"/><Relationship Id="rId1" Type="http://schemas.openxmlformats.org/officeDocument/2006/relationships/externalLinkPath" Target="/DOCUME~1/Deponte/IMPOST~1/Temp/SIMULATORE_aprile2009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EDIGASDUE/Commerciale/Clienti%20a%20Po/Simulazione%20offerta/Pricing%20AT%202009%2010_07_2009.xls" TargetMode="External"/><Relationship Id="rId1" Type="http://schemas.openxmlformats.org/officeDocument/2006/relationships/externalLinkPath" Target="/EDIGASDUE/Commerciale/Clienti%20a%20Po/Simulazione%20offerta/Pricing%20AT%202009%2010_07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lcolo distribuzione"/>
      <sheetName val="SCHEDE di CONFRONTABILITà DOM"/>
      <sheetName val="CLIENTE TIPO DOM"/>
      <sheetName val="CLIENTE TIPO DOM -4%"/>
      <sheetName val="Tabelle STANDARD DOM"/>
      <sheetName val="CLIENTE TIPO NON DOM &lt;5"/>
      <sheetName val="Tabelle STANDARD NON DOM &lt;5"/>
      <sheetName val="CLIENTE TIPO NON DOM &gt;5 ASCO"/>
      <sheetName val="CLIENTE TIPO NON DOM &gt;5 ASM"/>
      <sheetName val="CLIENTE TIPO NON DOM &gt;5 E2"/>
      <sheetName val="CLIENTE TIPO NON DOM &gt;5 PAS"/>
      <sheetName val="Tabelle STANDARD NON DOM &gt;5"/>
      <sheetName val="CLIENTE TIPO NON DOM &gt;5 EST"/>
      <sheetName val="QVD"/>
      <sheetName val="Parametri"/>
    </sheetNames>
    <sheetDataSet>
      <sheetData sheetId="0"/>
      <sheetData sheetId="1"/>
      <sheetData sheetId="2"/>
      <sheetData sheetId="3"/>
      <sheetData sheetId="4">
        <row r="4">
          <cell r="B4" t="str">
            <v>AMBITO NORD OCCIDENTALE</v>
          </cell>
        </row>
        <row r="5">
          <cell r="B5" t="str">
            <v>AMBITO NORD ORIENTALE</v>
          </cell>
        </row>
        <row r="6">
          <cell r="B6" t="str">
            <v>AMBITO CENTRALE</v>
          </cell>
        </row>
        <row r="7">
          <cell r="B7" t="str">
            <v>AMBITO CENTRO-SUD ORIENTALE</v>
          </cell>
        </row>
        <row r="8">
          <cell r="B8" t="str">
            <v>AMBITO CENTRO-SUD OCCIDENTALE</v>
          </cell>
        </row>
        <row r="9">
          <cell r="B9" t="str">
            <v>AMBITO MERIDIONALE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oglio12"/>
      <sheetName val="raffronto offerte"/>
      <sheetName val="Max CCI"/>
      <sheetName val="Parametri"/>
      <sheetName val="Parametri NEW"/>
      <sheetName val="Calcolo distribuzione"/>
      <sheetName val="Riepilogo per controllo"/>
      <sheetName val="Composizione voci_TUTELA"/>
      <sheetName val="CLIENTE TIPO TUTELA"/>
      <sheetName val="CLIENTE TIPO FD RISPARMIO"/>
      <sheetName val="SCHEDE di CONFR FD RISPARMIO"/>
      <sheetName val="CLIENTE TIPO FD SEMPLICE SMALL"/>
      <sheetName val="SCHEDE di CONFR FD SEMPL_SMALL"/>
      <sheetName val="CLIENTE TIPO FD SEMPLICE MEDIUM"/>
      <sheetName val="SCHEDE di CONFR FD SEMPL MEDIUM"/>
      <sheetName val="CLIENTE TIPO FD GAS FLEX small"/>
      <sheetName val="SCHEDE di CONF FD GAS FLEX smal"/>
      <sheetName val="CLIENTE TIPO FD GAS FLEX medium"/>
      <sheetName val="SCHEDE di CONF FD GAS FLEX med"/>
      <sheetName val="CLIENTE TIPO FD GAS CASA -35"/>
      <sheetName val="SCHEDE di CONFRONTAB FD CASA-35"/>
      <sheetName val="CLIENTE TIPO FD CASA+ -40"/>
      <sheetName val="SCHEDE di CONFR FDCASA-40"/>
      <sheetName val="SMART GAS FLEX_SMALL"/>
      <sheetName val="SMART GAS FLEX_MEDIUM"/>
      <sheetName val="SMART GAS FLEX_LARGE"/>
      <sheetName val="SMART GAS FLEX_SMALL plus"/>
      <sheetName val="SMART GAS FLEX_MEDIUM plus"/>
      <sheetName val="SMART GAS FLEX_LARGE plus"/>
      <sheetName val="SMART GAS FIX_SMALL"/>
      <sheetName val="SMART GAS FIX_MEDIUM"/>
      <sheetName val="SMART GAS FIX_LARGE"/>
      <sheetName val="CLIENTE TIPO CC"/>
      <sheetName val="SCHEDE di CONFRONTAB_CC"/>
      <sheetName val="CLIENTE TIPO FISM"/>
      <sheetName val="CLIENTE TIPO CONSIP_1"/>
      <sheetName val="CLIENTE TIPO CONSIP_2"/>
      <sheetName val="CLIENTE TIPO CONSIP_3"/>
      <sheetName val="CLIENTE TIPO CONSIP_6"/>
    </sheetNames>
    <sheetDataSet>
      <sheetData sheetId="0"/>
      <sheetData sheetId="1"/>
      <sheetData sheetId="2"/>
      <sheetData sheetId="3">
        <row r="7">
          <cell r="B7" t="str">
            <v>AMBITO NORD OCCIDENTALE</v>
          </cell>
        </row>
        <row r="8">
          <cell r="B8" t="str">
            <v>AMBITO NORD ORIENTALE</v>
          </cell>
        </row>
        <row r="9">
          <cell r="B9" t="str">
            <v>AMBITO CENTRALE</v>
          </cell>
        </row>
        <row r="10">
          <cell r="B10" t="str">
            <v>AMBITO CENTRO-SUD ORIENTALE</v>
          </cell>
        </row>
        <row r="11">
          <cell r="B11" t="str">
            <v>AMBITO CENTRO-SUD OCCIDENTALE</v>
          </cell>
        </row>
        <row r="12">
          <cell r="B12" t="str">
            <v>AMBITO MERIDIONALE</v>
          </cell>
        </row>
        <row r="16">
          <cell r="I16" t="str">
            <v>G4-G6</v>
          </cell>
        </row>
        <row r="17">
          <cell r="I17" t="str">
            <v>G10-G40</v>
          </cell>
        </row>
        <row r="18">
          <cell r="I18" t="str">
            <v>oltre G40</v>
          </cell>
        </row>
      </sheetData>
      <sheetData sheetId="4"/>
      <sheetData sheetId="5"/>
      <sheetData sheetId="6">
        <row r="33">
          <cell r="A33" t="str">
            <v>TUTELA</v>
          </cell>
        </row>
        <row r="34">
          <cell r="A34" t="str">
            <v>FD RISPARMIO</v>
          </cell>
        </row>
        <row r="35">
          <cell r="A35" t="str">
            <v>FD SEMPLICE small</v>
          </cell>
        </row>
        <row r="36">
          <cell r="A36" t="str">
            <v>FD SEMPLICE medium</v>
          </cell>
        </row>
        <row r="37">
          <cell r="A37" t="str">
            <v>FD GAS FLEX small</v>
          </cell>
        </row>
        <row r="38">
          <cell r="A38" t="str">
            <v>FD GAS FLEX medium</v>
          </cell>
        </row>
        <row r="39">
          <cell r="A39" t="str">
            <v>FD CASA-35</v>
          </cell>
        </row>
        <row r="40">
          <cell r="A40" t="str">
            <v>FD CASA-40</v>
          </cell>
        </row>
        <row r="41">
          <cell r="A41" t="str">
            <v>SMART GAS FLEX_SMALL</v>
          </cell>
        </row>
        <row r="42">
          <cell r="A42" t="str">
            <v>SMART GAS FLEX_MEDIUM</v>
          </cell>
        </row>
        <row r="43">
          <cell r="A43" t="str">
            <v>SMART GAS FLEX_LARGE</v>
          </cell>
        </row>
        <row r="44">
          <cell r="A44" t="str">
            <v>SMART GAS FLEX_SMALL plus</v>
          </cell>
        </row>
        <row r="45">
          <cell r="A45" t="str">
            <v>SMART GAS FLEX_MEDIUM plus</v>
          </cell>
        </row>
        <row r="46">
          <cell r="A46" t="str">
            <v>SMART GAS FLEX_LARGE plus</v>
          </cell>
        </row>
        <row r="47">
          <cell r="A47" t="str">
            <v>SMART GAS FIX_SMALL</v>
          </cell>
        </row>
        <row r="48">
          <cell r="A48" t="str">
            <v>SMART GAS FIX_MEDIUM</v>
          </cell>
        </row>
        <row r="49">
          <cell r="A49" t="str">
            <v>SMART GAS FIX_LARGE</v>
          </cell>
        </row>
        <row r="50">
          <cell r="A50" t="str">
            <v>CC</v>
          </cell>
        </row>
        <row r="51">
          <cell r="A51" t="str">
            <v>FISM</v>
          </cell>
        </row>
        <row r="52">
          <cell r="A52" t="str">
            <v>CONSIP-0,005_1</v>
          </cell>
        </row>
        <row r="53">
          <cell r="A53" t="str">
            <v>CONSIP-0,005_2</v>
          </cell>
        </row>
        <row r="54">
          <cell r="A54" t="str">
            <v>CONSIP-0,005_3</v>
          </cell>
        </row>
        <row r="55">
          <cell r="A55" t="str">
            <v>CONSIP-0,005_6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endita"/>
      <sheetName val="Località"/>
      <sheetName val="Impianto"/>
      <sheetName val="imposte+var"/>
      <sheetName val="OTB"/>
    </sheetNames>
    <sheetDataSet>
      <sheetData sheetId="0"/>
      <sheetData sheetId="1">
        <row r="4">
          <cell r="B4" t="str">
            <v>ABANO TERME (disr. EDISON D.G. SPA) (PD)</v>
          </cell>
        </row>
        <row r="5">
          <cell r="B5" t="str">
            <v>ABANO TERME (distr. ACEGASAPS SPA) (PD)</v>
          </cell>
        </row>
        <row r="6">
          <cell r="B6" t="str">
            <v>ABANO TERME (distr. ITALGAS SPA) (PD)</v>
          </cell>
        </row>
        <row r="7">
          <cell r="B7" t="str">
            <v>AGNA (PD)</v>
          </cell>
        </row>
        <row r="8">
          <cell r="B8" t="str">
            <v>AGUGLIARO (VI)</v>
          </cell>
        </row>
        <row r="9">
          <cell r="B9" t="str">
            <v>ALBAREDO D'ADIGE (VR)</v>
          </cell>
        </row>
        <row r="10">
          <cell r="B10" t="str">
            <v>ALBIGNASEGO (IMP. ALBIGNASEGO) (PD)</v>
          </cell>
        </row>
        <row r="11">
          <cell r="B11" t="str">
            <v>ALBIGNASEGO (IMP. PADOVA) (PD)</v>
          </cell>
        </row>
        <row r="12">
          <cell r="B12" t="str">
            <v>ANGUILLARA VENETA (PD)</v>
          </cell>
        </row>
        <row r="13">
          <cell r="B13" t="str">
            <v>ARBA (PN)</v>
          </cell>
        </row>
        <row r="14">
          <cell r="B14" t="str">
            <v>ARQUÀ PETRARCA - LA COSTA (PD)</v>
          </cell>
        </row>
        <row r="15">
          <cell r="B15" t="str">
            <v>ARQUA' PETRARCA (distr. ACEGASAPS SPA) (PD)</v>
          </cell>
        </row>
        <row r="16">
          <cell r="B16" t="str">
            <v>ARQUA' PETRARCA (distr. VENETO DISTR. SPA) (PD)</v>
          </cell>
        </row>
        <row r="17">
          <cell r="B17" t="str">
            <v>ARRE (PD)</v>
          </cell>
        </row>
        <row r="18">
          <cell r="B18" t="str">
            <v>ARZENE (PN)</v>
          </cell>
        </row>
        <row r="19">
          <cell r="B19" t="str">
            <v>ARZERGRANDE (PD)</v>
          </cell>
        </row>
        <row r="20">
          <cell r="B20" t="str">
            <v>ARZIGNANO (VI)</v>
          </cell>
        </row>
        <row r="21">
          <cell r="B21" t="str">
            <v>ASIGLIANO VENETO (VI)</v>
          </cell>
        </row>
        <row r="22">
          <cell r="B22" t="str">
            <v>AVIANO (PN)</v>
          </cell>
        </row>
        <row r="23">
          <cell r="B23" t="str">
            <v>BAGNOLI DI SOPRA (PD)</v>
          </cell>
        </row>
        <row r="24">
          <cell r="B24" t="str">
            <v>BAONE (PD)</v>
          </cell>
        </row>
        <row r="25">
          <cell r="B25" t="str">
            <v>BARBARANO VICENTINO (VI)</v>
          </cell>
        </row>
        <row r="26">
          <cell r="B26" t="str">
            <v>BARBONA (PD)</v>
          </cell>
        </row>
        <row r="27">
          <cell r="B27" t="str">
            <v>BASSANO DEL GRAPPA (VI)</v>
          </cell>
        </row>
        <row r="28">
          <cell r="B28" t="str">
            <v>BATTAGLIA TERME - VIA CATAJO (PD)</v>
          </cell>
        </row>
        <row r="29">
          <cell r="B29" t="str">
            <v>BATTAGLIA TERME (distr. ACEGASAPS SPA) (PD)</v>
          </cell>
        </row>
        <row r="30">
          <cell r="B30" t="str">
            <v>BATTAGLIA TERME (distr. ITALGAS SPA) (PD)</v>
          </cell>
        </row>
        <row r="31">
          <cell r="B31" t="str">
            <v>BENTIVOGLIO (BO)</v>
          </cell>
        </row>
        <row r="32">
          <cell r="B32" t="str">
            <v>BERTIOLO (UD)</v>
          </cell>
        </row>
        <row r="33">
          <cell r="B33" t="str">
            <v>BEVILACQUA - VIA CANTALOVO (VR)</v>
          </cell>
        </row>
        <row r="34">
          <cell r="B34" t="str">
            <v>BEVILACQUA (VR)</v>
          </cell>
        </row>
        <row r="35">
          <cell r="B35" t="str">
            <v>BOARA PISANI (PD)</v>
          </cell>
        </row>
        <row r="36">
          <cell r="B36" t="str">
            <v>BOLOGNA (BO)</v>
          </cell>
        </row>
        <row r="37">
          <cell r="B37" t="str">
            <v>BONAVIGO (VR)</v>
          </cell>
        </row>
        <row r="38">
          <cell r="B38" t="str">
            <v>BORGORICCO (PD)</v>
          </cell>
        </row>
        <row r="39">
          <cell r="B39" t="str">
            <v>BOSCHI SANT'ANNA (VR)</v>
          </cell>
        </row>
        <row r="40">
          <cell r="B40" t="str">
            <v>BOVOLENTA (PD)</v>
          </cell>
        </row>
        <row r="41">
          <cell r="B41" t="str">
            <v>BRUGINE (PD)</v>
          </cell>
        </row>
        <row r="42">
          <cell r="B42" t="str">
            <v>BRUGNERA (PN)</v>
          </cell>
        </row>
        <row r="43">
          <cell r="B43" t="str">
            <v>BUDOIA (PN)</v>
          </cell>
        </row>
        <row r="44">
          <cell r="B44" t="str">
            <v>CADONEGHE (PD)</v>
          </cell>
        </row>
        <row r="45">
          <cell r="B45" t="str">
            <v>CALDERARA DI RENO (BO)</v>
          </cell>
        </row>
        <row r="46">
          <cell r="B46" t="str">
            <v>CAMPAGNA LUPIA (VE)</v>
          </cell>
        </row>
        <row r="47">
          <cell r="B47" t="str">
            <v>CAMPIGLIA DEI BERICI (VI)</v>
          </cell>
        </row>
        <row r="48">
          <cell r="B48" t="str">
            <v>CAMPO SAN MARTINO (PD)</v>
          </cell>
        </row>
        <row r="49">
          <cell r="B49" t="str">
            <v>CAMPODARSEGO (PD)</v>
          </cell>
        </row>
        <row r="50">
          <cell r="B50" t="str">
            <v>CAMPOLONGO MAGGIORE (VE)</v>
          </cell>
        </row>
        <row r="51">
          <cell r="B51" t="str">
            <v>CAMPOLONGO SUL BRENTA (VI)</v>
          </cell>
        </row>
        <row r="52">
          <cell r="B52" t="str">
            <v>CAMPONOGARA (VE)</v>
          </cell>
        </row>
        <row r="53">
          <cell r="B53" t="str">
            <v>CANEVA (PN)</v>
          </cell>
        </row>
        <row r="54">
          <cell r="B54" t="str">
            <v>CAORLE (VE)</v>
          </cell>
        </row>
        <row r="55">
          <cell r="B55" t="str">
            <v>CARCERI - PEAGNOLA (PD)</v>
          </cell>
        </row>
        <row r="56">
          <cell r="B56" t="str">
            <v>CARCERI (PD)</v>
          </cell>
        </row>
        <row r="57">
          <cell r="B57" t="str">
            <v>CARTURA (PD)</v>
          </cell>
        </row>
        <row r="58">
          <cell r="B58" t="str">
            <v>CASALE DI SCODOSIA (PD)</v>
          </cell>
        </row>
        <row r="59">
          <cell r="B59" t="str">
            <v>CASALE SUL SILE (TV)</v>
          </cell>
        </row>
        <row r="60">
          <cell r="B60" t="str">
            <v>CASALECCHIO DI RENO (BO)</v>
          </cell>
        </row>
        <row r="61">
          <cell r="B61" t="str">
            <v>CASARSA DELLA DELIZIA (PN)</v>
          </cell>
        </row>
        <row r="62">
          <cell r="B62" t="str">
            <v>CASSOLA (VI)</v>
          </cell>
        </row>
        <row r="63">
          <cell r="B63" t="str">
            <v>CASTEL MAGGIORE (BO)</v>
          </cell>
        </row>
        <row r="64">
          <cell r="B64" t="str">
            <v>CASTEL S. PIETRO (BO)</v>
          </cell>
        </row>
        <row r="65">
          <cell r="B65" t="str">
            <v>CASTELBALDO (PD)</v>
          </cell>
        </row>
        <row r="66">
          <cell r="B66" t="str">
            <v>CASTELLEONE (CR)</v>
          </cell>
        </row>
        <row r="67">
          <cell r="B67" t="str">
            <v>CASTENASO (BO)</v>
          </cell>
        </row>
        <row r="68">
          <cell r="B68" t="str">
            <v>CASTIGLIONE DEI PEPOLI (BO)</v>
          </cell>
        </row>
        <row r="69">
          <cell r="B69" t="str">
            <v>CAVALLINO-TREPORTI (VE)</v>
          </cell>
        </row>
        <row r="70">
          <cell r="B70" t="str">
            <v>CAVASSO NUOVO (PN)</v>
          </cell>
        </row>
        <row r="71">
          <cell r="B71" t="str">
            <v>CERIANO LAGHETTO (MI)</v>
          </cell>
        </row>
        <row r="72">
          <cell r="B72" t="str">
            <v>CERVARESE SANTA CROCE (PD)</v>
          </cell>
        </row>
        <row r="73">
          <cell r="B73" t="str">
            <v>CHIOGGIA (VE)</v>
          </cell>
        </row>
        <row r="74">
          <cell r="B74" t="str">
            <v>CINTO EUGANEO (PD)</v>
          </cell>
        </row>
        <row r="75">
          <cell r="B75" t="str">
            <v>CISMON DEL GRAPPA (VI)</v>
          </cell>
        </row>
        <row r="76">
          <cell r="B76" t="str">
            <v>CITTADELLA (PD)</v>
          </cell>
        </row>
        <row r="77">
          <cell r="B77" t="str">
            <v>CODEVIGO (PD)</v>
          </cell>
        </row>
        <row r="78">
          <cell r="B78" t="str">
            <v>COLLOREDO DI MONTE ALBANO (UD)</v>
          </cell>
        </row>
        <row r="79">
          <cell r="B79" t="str">
            <v>CONSELVE (PD)</v>
          </cell>
        </row>
        <row r="80">
          <cell r="B80" t="str">
            <v>CORDENONS (PN)</v>
          </cell>
        </row>
        <row r="81">
          <cell r="B81" t="str">
            <v>CORMÒNS (GO)</v>
          </cell>
        </row>
        <row r="82">
          <cell r="B82" t="str">
            <v>CURTAROLO (PD)</v>
          </cell>
        </row>
        <row r="83">
          <cell r="B83" t="str">
            <v>DOLO (distr. E.ON RETE TRIVENETO) (VE)</v>
          </cell>
        </row>
        <row r="84">
          <cell r="B84" t="str">
            <v>DOLO (distr. ITALGAS SPA) (VE)</v>
          </cell>
        </row>
        <row r="85">
          <cell r="B85" t="str">
            <v>DUE CARRARE - FRAZ. CHIODARE, V. MINCANA (PD)</v>
          </cell>
        </row>
        <row r="86">
          <cell r="B86" t="str">
            <v>DUE CARRARE (PD)</v>
          </cell>
        </row>
        <row r="87">
          <cell r="B87" t="str">
            <v>DUINO - AURISINA (TS)</v>
          </cell>
        </row>
        <row r="88">
          <cell r="B88" t="str">
            <v>ERACLEA (VE)</v>
          </cell>
        </row>
        <row r="89">
          <cell r="B89" t="str">
            <v>ESTE (PD)</v>
          </cell>
        </row>
        <row r="90">
          <cell r="B90" t="str">
            <v>FANNA (PN)</v>
          </cell>
        </row>
        <row r="91">
          <cell r="B91" t="str">
            <v>FIESSO D'ARTICO (VE)</v>
          </cell>
        </row>
        <row r="92">
          <cell r="B92" t="str">
            <v>FIRENZUOLA (FI)</v>
          </cell>
        </row>
        <row r="93">
          <cell r="B93" t="str">
            <v>FIUME VENETO (PN)</v>
          </cell>
        </row>
        <row r="94">
          <cell r="B94" t="str">
            <v>FONTANAFREDDA (PN)</v>
          </cell>
        </row>
        <row r="95">
          <cell r="B95" t="str">
            <v>FONTANIVA (PD)</v>
          </cell>
        </row>
        <row r="96">
          <cell r="B96" t="str">
            <v>FOSSO' (VE)</v>
          </cell>
        </row>
        <row r="97">
          <cell r="B97" t="str">
            <v>FRAZ. DI PIOVE DI SACCO (PD)</v>
          </cell>
        </row>
        <row r="98">
          <cell r="B98" t="str">
            <v>GAIARINE (TV)</v>
          </cell>
        </row>
        <row r="99">
          <cell r="B99" t="str">
            <v>GALLIERA VENETA - LOC. MOTTINELLO (PD)</v>
          </cell>
        </row>
        <row r="100">
          <cell r="B100" t="str">
            <v>GALZIGNANO (PD)</v>
          </cell>
        </row>
        <row r="101">
          <cell r="B101" t="str">
            <v>GOMBITO (CR)</v>
          </cell>
        </row>
        <row r="102">
          <cell r="B102" t="str">
            <v>GRADISCA D'ISONZO (GO)</v>
          </cell>
        </row>
        <row r="103">
          <cell r="B103" t="str">
            <v>GRANAROLO DELL'EMILIA (BO)</v>
          </cell>
        </row>
        <row r="104">
          <cell r="B104" t="str">
            <v>GRANZE (PD)</v>
          </cell>
        </row>
        <row r="105">
          <cell r="B105" t="str">
            <v>GRISIGNANO DI ZOCCO (VI)</v>
          </cell>
        </row>
        <row r="106">
          <cell r="B106" t="str">
            <v>GRIZZANA MORANDI (BO)</v>
          </cell>
        </row>
        <row r="107">
          <cell r="B107" t="str">
            <v>IESOLO (VE)</v>
          </cell>
        </row>
        <row r="108">
          <cell r="B108" t="str">
            <v>LATISANA (UD)</v>
          </cell>
        </row>
        <row r="109">
          <cell r="B109" t="str">
            <v>LEGNARO (PD)</v>
          </cell>
        </row>
        <row r="110">
          <cell r="B110" t="str">
            <v>LEGNARO (PD)</v>
          </cell>
        </row>
        <row r="111">
          <cell r="B111" t="str">
            <v>LIGNANO SABBIADORO (UD)</v>
          </cell>
        </row>
        <row r="112">
          <cell r="B112" t="str">
            <v>LIMENA (distr. ACEGASAPS SPA) (PD)</v>
          </cell>
        </row>
        <row r="113">
          <cell r="B113" t="str">
            <v>LIMENA (distr. EDISON D.G. SPA) (PD)</v>
          </cell>
        </row>
        <row r="114">
          <cell r="B114" t="str">
            <v>LOIANO (BO)</v>
          </cell>
        </row>
        <row r="115">
          <cell r="B115" t="str">
            <v>LOZZO ATESTINO (PD)</v>
          </cell>
        </row>
        <row r="116">
          <cell r="B116" t="str">
            <v>MAJANO (UD)</v>
          </cell>
        </row>
        <row r="117">
          <cell r="B117" t="str">
            <v>MANIAGO (PN)</v>
          </cell>
        </row>
        <row r="118">
          <cell r="B118" t="str">
            <v>MARANO LAGUNARE - STR. DEL FRATOLIN (UD)</v>
          </cell>
        </row>
        <row r="119">
          <cell r="B119" t="str">
            <v>MARIANO DEL FRIULI (GO)</v>
          </cell>
        </row>
        <row r="120">
          <cell r="B120" t="str">
            <v>MARTELLAGO - LOC. BORGOVECCHIO (VE)</v>
          </cell>
        </row>
        <row r="121">
          <cell r="B121" t="str">
            <v>MARTELLAGO (VE)</v>
          </cell>
        </row>
        <row r="122">
          <cell r="B122" t="str">
            <v>MARZABOTTO (Lama di Setta, Gardeletta, Panico, Quercia) (BO)</v>
          </cell>
        </row>
        <row r="123">
          <cell r="B123" t="str">
            <v>MASERA' DI PADOVA (distr. ACEGASAPS SPA) (PD)</v>
          </cell>
        </row>
        <row r="124">
          <cell r="B124" t="str">
            <v>MASERA' DI PADOVA (distr. VENETO DISTR. SPA) (PD)</v>
          </cell>
        </row>
        <row r="125">
          <cell r="B125" t="str">
            <v>MASI (PD)</v>
          </cell>
        </row>
        <row r="126">
          <cell r="B126" t="str">
            <v>MEDEA (GO)</v>
          </cell>
        </row>
        <row r="127">
          <cell r="B127" t="str">
            <v>MEDUNO (PN)</v>
          </cell>
        </row>
        <row r="128">
          <cell r="B128" t="str">
            <v>MEGLIADINO SAN FIDENZIO (PD)</v>
          </cell>
        </row>
        <row r="129">
          <cell r="B129" t="str">
            <v>MEGLIADINO SAN VITALE (PD)</v>
          </cell>
        </row>
        <row r="130">
          <cell r="B130" t="str">
            <v>MELZO (MI)</v>
          </cell>
        </row>
        <row r="131">
          <cell r="B131" t="str">
            <v>MERLARA (PD)</v>
          </cell>
        </row>
        <row r="132">
          <cell r="B132" t="str">
            <v>MESTRINO (PD)</v>
          </cell>
        </row>
        <row r="133">
          <cell r="B133" t="str">
            <v>MINERBE (VR)</v>
          </cell>
        </row>
        <row r="134">
          <cell r="B134" t="str">
            <v>MIRA - VIA TITO (VE)</v>
          </cell>
        </row>
        <row r="135">
          <cell r="B135" t="str">
            <v>MIRA (VE)</v>
          </cell>
        </row>
        <row r="136">
          <cell r="B136" t="str">
            <v>MIRANO (VE)</v>
          </cell>
        </row>
        <row r="137">
          <cell r="B137" t="str">
            <v>MONGHIDORO (BO)</v>
          </cell>
        </row>
        <row r="138">
          <cell r="B138" t="str">
            <v>MONRUPINO (TS)</v>
          </cell>
        </row>
        <row r="139">
          <cell r="B139" t="str">
            <v>MONSELICE (imp. ESTE) (PD)</v>
          </cell>
        </row>
        <row r="140">
          <cell r="B140" t="str">
            <v>MONSELICE (Imp. MONSELICE) (PD)</v>
          </cell>
        </row>
        <row r="141">
          <cell r="B141" t="str">
            <v>MONSELICE (Sconfinamento da Solesino) (PD)</v>
          </cell>
        </row>
        <row r="142">
          <cell r="B142" t="str">
            <v>MONTAGNANA (PD)</v>
          </cell>
        </row>
        <row r="143">
          <cell r="B143" t="str">
            <v>MONTEGROTTO TERME (distr. ACEGASAPS SPA) (PD)</v>
          </cell>
        </row>
        <row r="144">
          <cell r="B144" t="str">
            <v>MONTEGROTTO TERME (distr. ITALGAS SPA) (PD)</v>
          </cell>
        </row>
        <row r="145">
          <cell r="B145" t="str">
            <v>MONTEREALE VALCELLINA (PN)</v>
          </cell>
        </row>
        <row r="146">
          <cell r="B146" t="str">
            <v>MONTERENZIO (BO)</v>
          </cell>
        </row>
        <row r="147">
          <cell r="B147" t="str">
            <v>MONZUNO (BO)</v>
          </cell>
        </row>
        <row r="148">
          <cell r="B148" t="str">
            <v>MORSANO AL TAGLIAMENTO (PN)</v>
          </cell>
        </row>
        <row r="149">
          <cell r="B149" t="str">
            <v>MUGGIA (TS)</v>
          </cell>
        </row>
        <row r="150">
          <cell r="B150" t="str">
            <v>MUGGIA (zona industriale) (TS)</v>
          </cell>
        </row>
        <row r="151">
          <cell r="B151" t="str">
            <v>MUSSOLENTE (VI)</v>
          </cell>
        </row>
        <row r="152">
          <cell r="B152" t="str">
            <v>MUZZANA DEL TURGNANO (UD)</v>
          </cell>
        </row>
        <row r="153">
          <cell r="B153" t="str">
            <v>NOALE (VE)</v>
          </cell>
        </row>
        <row r="154">
          <cell r="B154" t="str">
            <v>NOVENTA PADOVANA (distr. ACEGASAPS SPA) (PD)</v>
          </cell>
        </row>
        <row r="155">
          <cell r="B155" t="str">
            <v>NOVENTA PADOVANA (distr. EDISON D.G. SPA) (PD)</v>
          </cell>
        </row>
        <row r="156">
          <cell r="B156" t="str">
            <v>NOVENTA VICENTINA (VI)</v>
          </cell>
        </row>
        <row r="157">
          <cell r="B157" t="str">
            <v>ORGIANO (VI)</v>
          </cell>
        </row>
        <row r="158">
          <cell r="B158" t="str">
            <v>OSPEDALETTO EUGANEO (PD)</v>
          </cell>
        </row>
        <row r="159">
          <cell r="B159" t="str">
            <v>OZZANO DELL'EMILIA (BO)</v>
          </cell>
        </row>
        <row r="160">
          <cell r="B160" t="str">
            <v>PADOVA - V. SAN LORENZO E ROMANA PONENSE (PD)</v>
          </cell>
        </row>
        <row r="161">
          <cell r="B161" t="str">
            <v>PADOVA (imp. ALBIGNASEGO) (PD)</v>
          </cell>
        </row>
        <row r="162">
          <cell r="B162" t="str">
            <v>PADOVA (imp. NOVENTA PADOVANA) (PD)</v>
          </cell>
        </row>
        <row r="163">
          <cell r="B163" t="str">
            <v>PADOVA (imp. PADOVA) (PD)</v>
          </cell>
        </row>
        <row r="164">
          <cell r="B164" t="str">
            <v>PADOVA (imp. SELVAZZANO DENTRO) (PD)</v>
          </cell>
        </row>
        <row r="165">
          <cell r="B165" t="str">
            <v>PALAZZOLO DELLO STELLA (UD)</v>
          </cell>
        </row>
        <row r="166">
          <cell r="B166" t="str">
            <v>PERNUMIA (PD)</v>
          </cell>
        </row>
        <row r="167">
          <cell r="B167" t="str">
            <v>PIACENZA D'ADIGE (PD)</v>
          </cell>
        </row>
        <row r="168">
          <cell r="B168" t="str">
            <v>PIANIGA (distr. E.ON RETE TRIVENETO SPA) (VE)</v>
          </cell>
        </row>
        <row r="169">
          <cell r="B169" t="str">
            <v>PIANIGA (distr. ITALGAS SPA) (VE)</v>
          </cell>
        </row>
        <row r="170">
          <cell r="B170" t="str">
            <v>PIANORO (BO)</v>
          </cell>
        </row>
        <row r="171">
          <cell r="B171" t="str">
            <v>PIAZZOLA SUL BRENTA (distr. EDISON D.G. SPA) (PD)</v>
          </cell>
        </row>
        <row r="172">
          <cell r="B172" t="str">
            <v>PIAZZOLA SUL BRENTA (distr. ENEL RETE GAS) (PD)</v>
          </cell>
        </row>
        <row r="173">
          <cell r="B173" t="str">
            <v>PIEVE DI CENTO (BO)</v>
          </cell>
        </row>
        <row r="174">
          <cell r="B174" t="str">
            <v>PIOMBINO DESE (PD)</v>
          </cell>
        </row>
        <row r="175">
          <cell r="B175" t="str">
            <v>PIOVE DI SACCO (imp. ARZEGRANDE) (PD)</v>
          </cell>
        </row>
        <row r="176">
          <cell r="B176" t="str">
            <v>PIOVE DI SACCO (imp. PIOVE DI SACCO) (PD)</v>
          </cell>
        </row>
        <row r="177">
          <cell r="B177" t="str">
            <v>POCENIA (UD)</v>
          </cell>
        </row>
        <row r="178">
          <cell r="B178" t="str">
            <v>POLCENIGO (PN)</v>
          </cell>
        </row>
        <row r="179">
          <cell r="B179" t="str">
            <v>POLVERARA (distr. ACEGASAPS SPA) (PD)</v>
          </cell>
        </row>
        <row r="180">
          <cell r="B180" t="str">
            <v>POLVERARA (distr. E.ON RETE TRIVENETO) (PD)</v>
          </cell>
        </row>
        <row r="181">
          <cell r="B181" t="str">
            <v>PONSO (PD)</v>
          </cell>
        </row>
        <row r="182">
          <cell r="B182" t="str">
            <v>PONTE SAN NICOLO' (PD)</v>
          </cell>
        </row>
        <row r="183">
          <cell r="B183" t="str">
            <v>PONTELONGO (PD)</v>
          </cell>
        </row>
        <row r="184">
          <cell r="B184" t="str">
            <v>PORCIA (PN)</v>
          </cell>
        </row>
        <row r="185">
          <cell r="B185" t="str">
            <v>PORDENONE (PN)</v>
          </cell>
        </row>
        <row r="186">
          <cell r="B186" t="str">
            <v>POVE DEL GRAPPA (VI)</v>
          </cell>
        </row>
        <row r="187">
          <cell r="B187" t="str">
            <v>POZZONOVO (imp. STANGHELLA) (PD)</v>
          </cell>
        </row>
        <row r="188">
          <cell r="B188" t="str">
            <v>PRECENICCO (UD)</v>
          </cell>
        </row>
        <row r="189">
          <cell r="B189" t="str">
            <v>QUARTO D'ALTINO (PD)</v>
          </cell>
        </row>
        <row r="190">
          <cell r="B190" t="str">
            <v>RAGOGNA (UD)</v>
          </cell>
        </row>
        <row r="191">
          <cell r="B191" t="str">
            <v>REANA DEL ROJALE (UD)</v>
          </cell>
        </row>
        <row r="192">
          <cell r="B192" t="str">
            <v>ROMANO D'EZZELINO (VI)</v>
          </cell>
        </row>
        <row r="193">
          <cell r="B193" t="str">
            <v>ROMÀNS D'ISONZO (GO)</v>
          </cell>
        </row>
        <row r="194">
          <cell r="B194" t="str">
            <v>RONCHIS (UD)</v>
          </cell>
        </row>
        <row r="195">
          <cell r="B195" t="str">
            <v>RONCO ALL'ADIGE (VR)</v>
          </cell>
        </row>
        <row r="196">
          <cell r="B196" t="str">
            <v>ROSÀ (VI)</v>
          </cell>
        </row>
        <row r="197">
          <cell r="B197" t="str">
            <v>ROSSANO VENETO (VI)</v>
          </cell>
        </row>
        <row r="198">
          <cell r="B198" t="str">
            <v>ROVEREDO DI GUÀ - LOC. DOSSI (VR)</v>
          </cell>
        </row>
        <row r="199">
          <cell r="B199" t="str">
            <v>ROVEREDO IN PIANO (PN)</v>
          </cell>
        </row>
        <row r="200">
          <cell r="B200" t="str">
            <v>ROVIGO (RO)</v>
          </cell>
        </row>
        <row r="201">
          <cell r="B201" t="str">
            <v>ROVOLON (PD)</v>
          </cell>
        </row>
        <row r="202">
          <cell r="B202" t="str">
            <v>RUBANO (PD)</v>
          </cell>
        </row>
        <row r="203">
          <cell r="B203" t="str">
            <v>SACCOLONGO (PD)</v>
          </cell>
        </row>
        <row r="204">
          <cell r="B204" t="str">
            <v>SACILE - C. NADAL, OLIVO E VIEL (PN)</v>
          </cell>
        </row>
        <row r="205">
          <cell r="B205" t="str">
            <v>SACILE (PN)</v>
          </cell>
        </row>
        <row r="206">
          <cell r="B206" t="str">
            <v>SAGRADO D'ISONZO (POGGIO III ARMATA) (GO)</v>
          </cell>
        </row>
        <row r="207">
          <cell r="B207" t="str">
            <v>SALA BOLOGNESE (BO)</v>
          </cell>
        </row>
        <row r="208">
          <cell r="B208" t="str">
            <v>SALETTO (PD)</v>
          </cell>
        </row>
        <row r="209">
          <cell r="B209" t="str">
            <v>SAN BENEDETTO VAL DI SAMBRO (BO)</v>
          </cell>
        </row>
        <row r="210">
          <cell r="B210" t="str">
            <v>SAN DANIELE DEL FRIULI (UD)</v>
          </cell>
        </row>
        <row r="211">
          <cell r="B211" t="str">
            <v>SAN DORLIGO DELLA VALLE (TS)</v>
          </cell>
        </row>
        <row r="212">
          <cell r="B212" t="str">
            <v>SAN GIORGIO DELLA RICHINVELDA (PN)</v>
          </cell>
        </row>
        <row r="213">
          <cell r="B213" t="str">
            <v>SAN GIORGIO DELLE PERTICHE (PD)</v>
          </cell>
        </row>
        <row r="214">
          <cell r="B214" t="str">
            <v>SAN GIORGIO DI PIANO (SUD EST) (BO)</v>
          </cell>
        </row>
        <row r="215">
          <cell r="B215" t="str">
            <v>SAN GIORGIO IN BOSCO (imp. CITTADELLA) (PD)</v>
          </cell>
        </row>
        <row r="216">
          <cell r="B216" t="str">
            <v>SAN GIORGIO IN BOSCO (imp. VILLA DEL CONTE) (PD)</v>
          </cell>
        </row>
        <row r="217">
          <cell r="B217" t="str">
            <v>SAN LAZZARO DI SAVENA (Pizzocalvo,Ponticella) (BO)</v>
          </cell>
        </row>
        <row r="218">
          <cell r="B218" t="str">
            <v>SAN MARTINO AL TAGLIAMENTO (PN)</v>
          </cell>
        </row>
        <row r="219">
          <cell r="B219" t="str">
            <v>SAN NAZARIO (VI)</v>
          </cell>
        </row>
        <row r="220">
          <cell r="B220" t="str">
            <v>SAN PIETRO VIMINARIO (PD)</v>
          </cell>
        </row>
        <row r="221">
          <cell r="B221" t="str">
            <v>SAN QUIRINO (PN)</v>
          </cell>
        </row>
        <row r="222">
          <cell r="B222" t="str">
            <v>SAN VITO AL TAGLIAMENTO (CARBONA) (PN)</v>
          </cell>
        </row>
        <row r="223">
          <cell r="B223" t="str">
            <v>SAN VITO AL TAGLIAMENTO (PN)</v>
          </cell>
        </row>
        <row r="224">
          <cell r="B224" t="str">
            <v>SANTA GIUSTINA IN COLLE (PD)</v>
          </cell>
        </row>
        <row r="225">
          <cell r="B225" t="str">
            <v>SANTA MARGHERITA D'ADIGE (PD)</v>
          </cell>
        </row>
        <row r="226">
          <cell r="B226" t="str">
            <v>SANTA MARIA DI SALA (VE)</v>
          </cell>
        </row>
        <row r="227">
          <cell r="B227" t="str">
            <v>SANT'ANGELO DI PIOVE DI SACCO (distr. ACEGASAPS SPA)) (PD)</v>
          </cell>
        </row>
        <row r="228">
          <cell r="B228" t="str">
            <v>SANT'ANGELO DI PIOVE DI SACCO (distr. E.ON RETE TRIVENETO) (PD)</v>
          </cell>
        </row>
        <row r="229">
          <cell r="B229" t="str">
            <v>SANT'ELENA (distr. ENEL RETE GAS) (PD)</v>
          </cell>
        </row>
        <row r="230">
          <cell r="B230" t="str">
            <v>SANT'ELENA (distr. ITALGAS SPA) (PD)</v>
          </cell>
        </row>
        <row r="231">
          <cell r="B231" t="str">
            <v>SANTO STINO DI LIVENZA - LOC.CA' COTTONI (VE)</v>
          </cell>
        </row>
        <row r="232">
          <cell r="B232" t="str">
            <v>SANT'URBANO (PD)</v>
          </cell>
        </row>
        <row r="233">
          <cell r="B233" t="str">
            <v>SAONARA (PD)</v>
          </cell>
        </row>
        <row r="234">
          <cell r="B234" t="str">
            <v>SASSO MARCONI (BO)</v>
          </cell>
        </row>
        <row r="235">
          <cell r="B235" t="str">
            <v>SCORZE' (VE)</v>
          </cell>
        </row>
        <row r="236">
          <cell r="B236" t="str">
            <v>SELVAZZANO DENTRO (distr. ACEGASAPS SPA) (PD)</v>
          </cell>
        </row>
        <row r="237">
          <cell r="B237" t="str">
            <v>SELVAZZANO DENTRO (distr. EDISON D.G. SPA) (PD)</v>
          </cell>
        </row>
        <row r="238">
          <cell r="B238" t="str">
            <v>SEQUALS (PN)</v>
          </cell>
        </row>
        <row r="239">
          <cell r="B239" t="str">
            <v>SESTO AL REGHENA - FRAZ. SANTA SABINA (PN)</v>
          </cell>
        </row>
        <row r="240">
          <cell r="B240" t="str">
            <v>SGONICO (TS)</v>
          </cell>
        </row>
        <row r="241">
          <cell r="B241" t="str">
            <v>SOLAGNA (VI)</v>
          </cell>
        </row>
        <row r="242">
          <cell r="B242" t="str">
            <v>SOLARO (MI)</v>
          </cell>
        </row>
        <row r="243">
          <cell r="B243" t="str">
            <v>SOLESINO (PD)</v>
          </cell>
        </row>
        <row r="244">
          <cell r="B244" t="str">
            <v>STANGHELLA (PD)</v>
          </cell>
        </row>
        <row r="245">
          <cell r="B245" t="str">
            <v>STRA (distr. E.ON RETE TRIVENETO) (VE)</v>
          </cell>
        </row>
        <row r="246">
          <cell r="B246" t="str">
            <v>STRA (distr. EDISON D.G. SPA) (VE)</v>
          </cell>
        </row>
        <row r="247">
          <cell r="B247" t="str">
            <v>TALMASSONS (UD)</v>
          </cell>
        </row>
        <row r="248">
          <cell r="B248" t="str">
            <v>TEOLO - MONTE ORTONE E V. SANTUARIO (PD)</v>
          </cell>
        </row>
        <row r="249">
          <cell r="B249" t="str">
            <v>TEOLO (PD)</v>
          </cell>
        </row>
        <row r="250">
          <cell r="B250" t="str">
            <v>TEOR (UD)</v>
          </cell>
        </row>
        <row r="251">
          <cell r="B251" t="str">
            <v>TERRASSA PADOVANA (PD)</v>
          </cell>
        </row>
        <row r="252">
          <cell r="B252" t="str">
            <v>TOLMEZZO (UD)</v>
          </cell>
        </row>
        <row r="253">
          <cell r="B253" t="str">
            <v>TORRE DI MOSTO VIA TRIANGOLO SPL 42 (VE)</v>
          </cell>
        </row>
        <row r="254">
          <cell r="B254" t="str">
            <v>TORREGLIA (distr. ACEGASAPS SPA) (PD)</v>
          </cell>
        </row>
        <row r="255">
          <cell r="B255" t="str">
            <v>TORREGLIA (distr. EDISON D.G. SPA) (PD)</v>
          </cell>
        </row>
        <row r="256">
          <cell r="B256" t="str">
            <v>TREBASELEGHE (PD)</v>
          </cell>
        </row>
        <row r="257">
          <cell r="B257" t="str">
            <v>TRICESIMO (UD)</v>
          </cell>
        </row>
        <row r="258">
          <cell r="B258" t="str">
            <v>TRIESTE - SANTA CROCE (TS)</v>
          </cell>
        </row>
        <row r="259">
          <cell r="B259" t="str">
            <v>TRIESTE (TS)</v>
          </cell>
        </row>
        <row r="260">
          <cell r="B260" t="str">
            <v>UDINE (UD)</v>
          </cell>
        </row>
        <row r="261">
          <cell r="B261" t="str">
            <v>URBANA (PD)</v>
          </cell>
        </row>
        <row r="262">
          <cell r="B262" t="str">
            <v>VAJONT (PN)</v>
          </cell>
        </row>
        <row r="263">
          <cell r="B263" t="str">
            <v>VALLI DI CHIOGGIA (VE)</v>
          </cell>
        </row>
        <row r="264">
          <cell r="B264" t="str">
            <v>VALSTAGNA (VI)</v>
          </cell>
        </row>
        <row r="265">
          <cell r="B265" t="str">
            <v>VALVASONE (PN)</v>
          </cell>
        </row>
        <row r="266">
          <cell r="B266" t="str">
            <v>VEGGIANO (PD)</v>
          </cell>
        </row>
        <row r="267">
          <cell r="B267" t="str">
            <v>VENEZIA (VE)</v>
          </cell>
        </row>
        <row r="268">
          <cell r="B268" t="str">
            <v>VESCOVANA (PD)</v>
          </cell>
        </row>
        <row r="269">
          <cell r="B269" t="str">
            <v>VIGHIZZOLO D'ESTE (PD)</v>
          </cell>
        </row>
        <row r="270">
          <cell r="B270" t="str">
            <v>VIGNATE (MI)</v>
          </cell>
        </row>
        <row r="271">
          <cell r="B271" t="str">
            <v>VIGODARZERE (distr. ACEGASAPS SPA) (PD)</v>
          </cell>
        </row>
        <row r="272">
          <cell r="B272" t="str">
            <v>VIGODARZERE (distr. DIM GAS SRL) (PD)</v>
          </cell>
        </row>
        <row r="273">
          <cell r="B273" t="str">
            <v>VIGODARZERE (distr. EDISON D.G. SPA) (PD)</v>
          </cell>
        </row>
        <row r="274">
          <cell r="B274" t="str">
            <v>VIGONOVO (VE)</v>
          </cell>
        </row>
        <row r="275">
          <cell r="B275" t="str">
            <v>VIGONZA (distr. ACEGASAPS SPA) (PD)</v>
          </cell>
        </row>
        <row r="276">
          <cell r="B276" t="str">
            <v>VIGONZA (distr. E.ON RETE TRIVENETO) (PD)</v>
          </cell>
        </row>
        <row r="277">
          <cell r="B277" t="str">
            <v>VIGONZA (distr. EDISON D.G. SPA) (PD)</v>
          </cell>
        </row>
        <row r="278">
          <cell r="B278" t="str">
            <v>VILLA DEL CONTE (PD)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elle Varie "/>
      <sheetName val="Tabella Trasporto"/>
      <sheetName val="Tabella TD"/>
      <sheetName val="Tabella MP Contratto"/>
      <sheetName val="Tabella DB RR "/>
      <sheetName val="Tabella BDG MC"/>
      <sheetName val="Tabella Forecast Indici "/>
      <sheetName val="Tabella Po mercato "/>
      <sheetName val="Offerta"/>
      <sheetName val="Confronto"/>
      <sheetName val="Confronto 64_09"/>
      <sheetName val="Forecast Prezzo Cliente"/>
      <sheetName val="Forecast Prezzo Cliente 64_09"/>
      <sheetName val="Forecast P.zzo Acquisto Rete"/>
      <sheetName val="Forecast Acquisto Rete GR"/>
      <sheetName val="Scheda "/>
      <sheetName val="Forecast P.zzo Acquisto Mercato"/>
      <sheetName val="Calcolo Garanzia "/>
      <sheetName val="Po rete"/>
      <sheetName val="Calcolo TD "/>
      <sheetName val="Calcolo Marginalità"/>
      <sheetName val="MP GR 04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arera.it/it/bonus_social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zoomScaleNormal="100" workbookViewId="0">
      <pane xSplit="1" ySplit="2" topLeftCell="B9" activePane="bottomRight" state="frozen"/>
      <selection pane="topRight" activeCell="E7" sqref="E7:H7"/>
      <selection pane="bottomLeft" activeCell="E7" sqref="E7:H7"/>
      <selection pane="bottomRight" activeCell="E40" sqref="E40"/>
    </sheetView>
  </sheetViews>
  <sheetFormatPr defaultRowHeight="12.75"/>
  <cols>
    <col min="1" max="1" width="10" style="10" customWidth="1"/>
    <col min="2" max="2" width="12.7109375" style="10" bestFit="1" customWidth="1"/>
    <col min="3" max="3" width="11.7109375" style="10" customWidth="1"/>
    <col min="4" max="4" width="10.5703125" style="10" bestFit="1" customWidth="1"/>
    <col min="5" max="5" width="18.42578125" style="10" bestFit="1" customWidth="1"/>
    <col min="6" max="6" width="9.140625" style="10"/>
    <col min="7" max="7" width="10.5703125" style="10" bestFit="1" customWidth="1"/>
    <col min="8" max="16384" width="9.140625" style="10"/>
  </cols>
  <sheetData>
    <row r="1" spans="1:6" s="7" customFormat="1" ht="45.75" customHeight="1">
      <c r="A1" s="5" t="s">
        <v>0</v>
      </c>
      <c r="B1" s="6" t="s">
        <v>480</v>
      </c>
      <c r="C1" s="6" t="s">
        <v>1</v>
      </c>
      <c r="D1" s="212" t="s">
        <v>475</v>
      </c>
    </row>
    <row r="2" spans="1:6" s="7" customFormat="1">
      <c r="A2" s="5"/>
      <c r="B2" s="6"/>
      <c r="C2" s="6"/>
      <c r="D2" s="6"/>
    </row>
    <row r="3" spans="1:6" s="7" customFormat="1">
      <c r="A3" s="8">
        <v>45292</v>
      </c>
      <c r="B3" s="9">
        <v>45324</v>
      </c>
      <c r="C3" s="229">
        <f>8.663972+1.157731</f>
        <v>9.8217029999999994</v>
      </c>
      <c r="D3" s="230">
        <v>45292</v>
      </c>
      <c r="E3" s="10" t="s">
        <v>409</v>
      </c>
    </row>
    <row r="4" spans="1:6" s="7" customFormat="1">
      <c r="A4" s="8">
        <v>45323</v>
      </c>
      <c r="B4" s="9">
        <v>45355</v>
      </c>
      <c r="C4" s="229">
        <f>7.733361+1.157731</f>
        <v>8.8910920000000004</v>
      </c>
      <c r="D4" s="230">
        <v>45323</v>
      </c>
      <c r="E4" s="10" t="s">
        <v>409</v>
      </c>
    </row>
    <row r="5" spans="1:6" s="7" customFormat="1">
      <c r="A5" s="8">
        <v>45352</v>
      </c>
      <c r="B5" s="9">
        <v>45385</v>
      </c>
      <c r="C5" s="229">
        <f>7.982639+1.157731</f>
        <v>9.1403700000000008</v>
      </c>
      <c r="D5" s="230">
        <v>45352</v>
      </c>
      <c r="E5" s="10" t="s">
        <v>409</v>
      </c>
    </row>
    <row r="6" spans="1:6" s="7" customFormat="1">
      <c r="A6" s="8">
        <v>45383</v>
      </c>
      <c r="B6" s="9">
        <v>45415</v>
      </c>
      <c r="C6" s="229">
        <f>8.470028+0.925205</f>
        <v>9.3952329999999993</v>
      </c>
      <c r="D6" s="230">
        <v>45383</v>
      </c>
      <c r="E6" s="10" t="s">
        <v>409</v>
      </c>
    </row>
    <row r="7" spans="1:6" s="7" customFormat="1">
      <c r="A7" s="8">
        <v>45413</v>
      </c>
      <c r="B7" s="9">
        <v>45447</v>
      </c>
      <c r="C7" s="229">
        <f>9.16275+0.925205</f>
        <v>10.087955000000001</v>
      </c>
      <c r="D7" s="230">
        <v>45413</v>
      </c>
      <c r="E7" s="10" t="s">
        <v>409</v>
      </c>
    </row>
    <row r="8" spans="1:6" s="7" customFormat="1">
      <c r="A8" s="8">
        <v>45444</v>
      </c>
      <c r="B8" s="9">
        <v>45475</v>
      </c>
      <c r="C8" s="229">
        <f>10.029278+0.925205</f>
        <v>10.954483</v>
      </c>
      <c r="D8" s="230">
        <v>45444</v>
      </c>
      <c r="E8" s="10" t="s">
        <v>409</v>
      </c>
    </row>
    <row r="9" spans="1:6" s="7" customFormat="1">
      <c r="A9" s="8">
        <v>45474</v>
      </c>
      <c r="B9" s="9">
        <v>45506</v>
      </c>
      <c r="C9" s="229">
        <f>9.835472+0.925205</f>
        <v>10.760676999999999</v>
      </c>
      <c r="D9" s="230">
        <v>45474</v>
      </c>
      <c r="E9" s="10" t="s">
        <v>409</v>
      </c>
      <c r="F9" s="10"/>
    </row>
    <row r="10" spans="1:6" s="7" customFormat="1">
      <c r="A10" s="8">
        <v>45505</v>
      </c>
      <c r="B10" s="9">
        <v>45538</v>
      </c>
      <c r="C10" s="229">
        <f>11.261417+0.925205</f>
        <v>12.186622</v>
      </c>
      <c r="D10" s="230">
        <v>45505</v>
      </c>
      <c r="E10" s="10" t="s">
        <v>409</v>
      </c>
      <c r="F10" s="10"/>
    </row>
    <row r="11" spans="1:6">
      <c r="A11" s="8">
        <v>45536</v>
      </c>
      <c r="B11" s="9">
        <v>45567</v>
      </c>
      <c r="C11" s="229">
        <f>10.780083+0.925205</f>
        <v>11.705287999999999</v>
      </c>
      <c r="D11" s="230">
        <v>45536</v>
      </c>
      <c r="E11" s="10" t="s">
        <v>409</v>
      </c>
    </row>
    <row r="12" spans="1:6">
      <c r="A12" s="8">
        <v>45566</v>
      </c>
      <c r="B12" s="9">
        <v>45601</v>
      </c>
      <c r="C12" s="229">
        <f>11.340833+0.753713</f>
        <v>12.094545999999999</v>
      </c>
      <c r="D12" s="230">
        <v>45566</v>
      </c>
      <c r="E12" s="10" t="s">
        <v>409</v>
      </c>
    </row>
    <row r="13" spans="1:6">
      <c r="A13" s="8">
        <v>45597</v>
      </c>
      <c r="B13" s="9">
        <v>45629</v>
      </c>
      <c r="C13" s="229">
        <f>12.536917+0.753713</f>
        <v>13.29063</v>
      </c>
      <c r="D13" s="230">
        <v>45597</v>
      </c>
      <c r="E13" s="10" t="s">
        <v>409</v>
      </c>
    </row>
    <row r="14" spans="1:6">
      <c r="A14" s="8">
        <v>45627</v>
      </c>
      <c r="B14" s="9">
        <v>45660</v>
      </c>
      <c r="C14" s="229">
        <f>13.219972+0.753713</f>
        <v>13.973685</v>
      </c>
      <c r="D14" s="230">
        <v>45627</v>
      </c>
      <c r="E14" s="10" t="s">
        <v>409</v>
      </c>
    </row>
    <row r="15" spans="1:6">
      <c r="A15" s="8">
        <v>45658</v>
      </c>
      <c r="B15" s="9">
        <v>45692</v>
      </c>
      <c r="C15" s="229">
        <f>13.851917+0.753713</f>
        <v>14.60563</v>
      </c>
      <c r="D15" s="230">
        <v>45658</v>
      </c>
      <c r="E15" s="10" t="s">
        <v>409</v>
      </c>
    </row>
    <row r="16" spans="1:6">
      <c r="A16" s="8">
        <v>45689</v>
      </c>
      <c r="B16" s="9">
        <v>45720</v>
      </c>
      <c r="C16" s="229">
        <f>14.698278+0.753713</f>
        <v>15.451991</v>
      </c>
      <c r="D16" s="230">
        <v>45689</v>
      </c>
      <c r="E16" s="10" t="s">
        <v>409</v>
      </c>
    </row>
    <row r="17" spans="1:5">
      <c r="A17" s="8">
        <v>45717</v>
      </c>
      <c r="B17" s="9">
        <v>45749</v>
      </c>
      <c r="C17" s="229">
        <f>11.813833+0.753713</f>
        <v>12.567546</v>
      </c>
      <c r="D17" s="230">
        <v>45717</v>
      </c>
      <c r="E17" s="10" t="s">
        <v>409</v>
      </c>
    </row>
    <row r="18" spans="1:5">
      <c r="A18" s="8">
        <v>45748</v>
      </c>
      <c r="B18" s="9">
        <v>45782</v>
      </c>
      <c r="C18" s="229">
        <f>10.445611+0.877869</f>
        <v>11.32348</v>
      </c>
      <c r="D18" s="230">
        <v>45748</v>
      </c>
      <c r="E18" s="10" t="s">
        <v>409</v>
      </c>
    </row>
    <row r="19" spans="1:5">
      <c r="A19" s="8">
        <v>45778</v>
      </c>
      <c r="B19" s="9">
        <v>45812</v>
      </c>
      <c r="C19" s="229">
        <f>10.462361+0.877869</f>
        <v>11.34023</v>
      </c>
      <c r="D19" s="230">
        <v>45778</v>
      </c>
      <c r="E19" s="10" t="s">
        <v>409</v>
      </c>
    </row>
    <row r="20" spans="1:5">
      <c r="A20" s="8">
        <v>45809</v>
      </c>
      <c r="B20" s="9">
        <v>45840</v>
      </c>
      <c r="C20" s="229">
        <f>10.873278+0.877869</f>
        <v>11.751147000000001</v>
      </c>
      <c r="D20" s="230">
        <v>45809</v>
      </c>
      <c r="E20" s="10" t="s">
        <v>409</v>
      </c>
    </row>
    <row r="21" spans="1:5" ht="13.5" thickBot="1">
      <c r="A21" s="330">
        <v>45839</v>
      </c>
      <c r="B21" s="331">
        <v>45873</v>
      </c>
      <c r="C21" s="332">
        <f>10.188944+0.877869</f>
        <v>11.066813</v>
      </c>
      <c r="D21" s="333">
        <v>45839</v>
      </c>
      <c r="E21" s="334" t="s">
        <v>409</v>
      </c>
    </row>
    <row r="22" spans="1:5">
      <c r="A22" s="270">
        <v>45870</v>
      </c>
      <c r="B22" s="271">
        <v>45901</v>
      </c>
      <c r="C22" s="261">
        <f>9.888+0.877869</f>
        <v>10.765869</v>
      </c>
      <c r="D22" s="272">
        <v>45870</v>
      </c>
      <c r="E22" s="273" t="s">
        <v>409</v>
      </c>
    </row>
    <row r="23" spans="1:5">
      <c r="A23" s="274">
        <v>45901</v>
      </c>
      <c r="B23" s="331">
        <v>45932</v>
      </c>
      <c r="C23" s="332">
        <f>9.692583+0.877869</f>
        <v>10.570452000000001</v>
      </c>
      <c r="D23" s="333">
        <v>45901</v>
      </c>
      <c r="E23" s="275" t="s">
        <v>409</v>
      </c>
    </row>
    <row r="24" spans="1:5">
      <c r="A24" s="274">
        <v>45931</v>
      </c>
      <c r="B24" s="331">
        <v>45962</v>
      </c>
      <c r="C24" s="332">
        <f>9.181444+0.694001</f>
        <v>9.8754450000000009</v>
      </c>
      <c r="D24" s="333">
        <v>45931</v>
      </c>
      <c r="E24" s="275" t="s">
        <v>409</v>
      </c>
    </row>
    <row r="25" spans="1:5">
      <c r="A25" s="274">
        <v>45962</v>
      </c>
      <c r="B25" s="331">
        <v>45993</v>
      </c>
      <c r="C25" s="332">
        <f>9.052556+0.694001</f>
        <v>9.7465569999999992</v>
      </c>
      <c r="D25" s="333">
        <v>45962</v>
      </c>
      <c r="E25" s="275" t="s">
        <v>409</v>
      </c>
    </row>
    <row r="26" spans="1:5">
      <c r="A26" s="274">
        <v>45992</v>
      </c>
      <c r="B26" s="331">
        <v>46027</v>
      </c>
      <c r="C26" s="332">
        <f>8.514667+0.694001</f>
        <v>9.2086679999999994</v>
      </c>
      <c r="D26" s="333">
        <v>45992</v>
      </c>
      <c r="E26" s="275" t="s">
        <v>409</v>
      </c>
    </row>
    <row r="27" spans="1:5">
      <c r="A27" s="274">
        <v>46023</v>
      </c>
      <c r="B27" s="331">
        <v>46056</v>
      </c>
      <c r="C27" s="332">
        <f>10.486333+0.694001</f>
        <v>11.180334</v>
      </c>
      <c r="D27" s="333">
        <v>46023</v>
      </c>
      <c r="E27" s="275" t="s">
        <v>409</v>
      </c>
    </row>
    <row r="28" spans="1:5">
      <c r="A28" s="274">
        <v>46054</v>
      </c>
      <c r="B28" s="331">
        <v>46084</v>
      </c>
      <c r="C28" s="332">
        <f>9.781611+0.694001</f>
        <v>10.475612</v>
      </c>
      <c r="D28" s="333">
        <v>46054</v>
      </c>
      <c r="E28" s="275" t="s">
        <v>409</v>
      </c>
    </row>
    <row r="29" spans="1:5">
      <c r="A29" s="274">
        <v>46082</v>
      </c>
      <c r="B29" s="331">
        <v>46114</v>
      </c>
      <c r="C29" s="332">
        <f>14.478167+0.694001</f>
        <v>15.172167999999999</v>
      </c>
      <c r="D29" s="333">
        <v>46082</v>
      </c>
      <c r="E29" s="275" t="s">
        <v>409</v>
      </c>
    </row>
    <row r="30" spans="1:5">
      <c r="A30" s="274">
        <v>46113</v>
      </c>
      <c r="B30" s="331">
        <v>46147</v>
      </c>
      <c r="C30" s="332">
        <f>12.781028+0.81802</f>
        <v>13.599048</v>
      </c>
      <c r="D30" s="333">
        <v>46113</v>
      </c>
      <c r="E30" s="275" t="s">
        <v>409</v>
      </c>
    </row>
    <row r="31" spans="1:5">
      <c r="A31" s="274">
        <v>46143</v>
      </c>
      <c r="B31" s="331">
        <v>46176</v>
      </c>
      <c r="C31" s="332">
        <f>13.02575+0.81802</f>
        <v>13.843770000000001</v>
      </c>
      <c r="D31" s="333">
        <v>46143</v>
      </c>
      <c r="E31" s="275" t="s">
        <v>409</v>
      </c>
    </row>
    <row r="32" spans="1:5">
      <c r="A32" s="274">
        <v>46174</v>
      </c>
      <c r="B32" s="331">
        <v>46205</v>
      </c>
      <c r="C32" s="332">
        <f>13.106722+0.81802</f>
        <v>13.924742</v>
      </c>
      <c r="D32" s="333">
        <v>46174</v>
      </c>
      <c r="E32" s="275" t="s">
        <v>409</v>
      </c>
    </row>
    <row r="33" spans="1:7" ht="13.5" thickBot="1">
      <c r="A33" s="262">
        <v>46204</v>
      </c>
      <c r="B33" s="263">
        <v>46238</v>
      </c>
      <c r="C33" s="264">
        <f>15.747972+0.81802</f>
        <v>16.565992000000001</v>
      </c>
      <c r="D33" s="265">
        <v>46204</v>
      </c>
      <c r="E33" s="266" t="s">
        <v>409</v>
      </c>
    </row>
    <row r="34" spans="1:7">
      <c r="A34" s="8">
        <v>46235</v>
      </c>
      <c r="B34" s="9">
        <v>46267</v>
      </c>
      <c r="C34" s="229">
        <f>17.820556+0.81802</f>
        <v>18.638576</v>
      </c>
      <c r="D34" s="230">
        <v>46235</v>
      </c>
      <c r="E34" s="10" t="s">
        <v>409</v>
      </c>
    </row>
    <row r="35" spans="1:7">
      <c r="B35" s="9"/>
      <c r="C35" s="9"/>
      <c r="D35" s="91"/>
    </row>
    <row r="36" spans="1:7">
      <c r="C36" s="9"/>
      <c r="D36" s="89"/>
      <c r="G36" s="91"/>
    </row>
    <row r="37" spans="1:7">
      <c r="D37" s="89"/>
      <c r="E37" s="91"/>
    </row>
    <row r="38" spans="1:7">
      <c r="B38" s="253" t="s">
        <v>492</v>
      </c>
      <c r="C38" s="254">
        <v>2</v>
      </c>
      <c r="D38" s="255"/>
    </row>
    <row r="39" spans="1:7">
      <c r="B39" s="256">
        <v>38.520000000000003</v>
      </c>
      <c r="C39" s="257">
        <f>+MAX(C22:C33)*$B39/1000</f>
        <v>0.63812201184000017</v>
      </c>
      <c r="D39" s="257"/>
      <c r="G39" s="92"/>
    </row>
    <row r="40" spans="1:7">
      <c r="B40" s="258"/>
      <c r="C40" s="258">
        <f>+VLOOKUP(MAX(C22:C33),C$22:$D$33,C$38,FALSE)</f>
        <v>46204</v>
      </c>
      <c r="D40" s="258"/>
    </row>
    <row r="41" spans="1:7">
      <c r="C41" s="91"/>
    </row>
    <row r="42" spans="1:7">
      <c r="C42" s="91"/>
    </row>
    <row r="43" spans="1:7">
      <c r="C43" s="91"/>
    </row>
    <row r="47" spans="1:7">
      <c r="C47" s="91"/>
    </row>
  </sheetData>
  <phoneticPr fontId="22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N170"/>
  <sheetViews>
    <sheetView workbookViewId="0">
      <selection activeCell="F19" sqref="F19"/>
    </sheetView>
  </sheetViews>
  <sheetFormatPr defaultRowHeight="11.25"/>
  <cols>
    <col min="1" max="1" width="8" style="1" customWidth="1"/>
    <col min="2" max="2" width="54.140625" style="1" bestFit="1" customWidth="1"/>
    <col min="3" max="4" width="10.28515625" style="1" customWidth="1"/>
    <col min="5" max="5" width="14.42578125" style="1" customWidth="1"/>
    <col min="6" max="6" width="13.85546875" style="1" customWidth="1"/>
    <col min="7" max="7" width="10.42578125" style="1" customWidth="1"/>
    <col min="8" max="8" width="10.42578125" style="1" bestFit="1" customWidth="1"/>
    <col min="9" max="9" width="11" style="1" customWidth="1"/>
    <col min="10" max="10" width="18.7109375" style="1" bestFit="1" customWidth="1"/>
    <col min="11" max="11" width="18.42578125" style="1" bestFit="1" customWidth="1"/>
    <col min="12" max="12" width="13.42578125" style="1" bestFit="1" customWidth="1"/>
    <col min="13" max="13" width="9.140625" style="1"/>
    <col min="14" max="14" width="19.5703125" style="1" bestFit="1" customWidth="1"/>
    <col min="15" max="15" width="9.5703125" style="1" bestFit="1" customWidth="1"/>
    <col min="16" max="16" width="12.85546875" style="1" customWidth="1"/>
    <col min="17" max="16384" width="9.140625" style="1"/>
  </cols>
  <sheetData>
    <row r="1" spans="1:12" ht="13.5">
      <c r="A1" s="15" t="s">
        <v>2</v>
      </c>
      <c r="B1" s="13"/>
      <c r="C1" s="209">
        <f>'Max CCI'!A34</f>
        <v>46235</v>
      </c>
      <c r="D1" s="76"/>
      <c r="E1" s="14"/>
      <c r="F1" s="14"/>
      <c r="G1" s="14"/>
      <c r="H1" s="104"/>
      <c r="I1" s="14"/>
      <c r="J1" s="14"/>
      <c r="K1" s="14"/>
      <c r="L1" s="14"/>
    </row>
    <row r="2" spans="1:12" ht="13.5">
      <c r="A2" s="15" t="s">
        <v>3</v>
      </c>
      <c r="B2" s="13"/>
      <c r="C2" s="209">
        <f>C1</f>
        <v>46235</v>
      </c>
      <c r="D2" s="76"/>
      <c r="E2" s="14"/>
      <c r="F2" s="14"/>
      <c r="G2" s="14"/>
      <c r="H2" s="104"/>
      <c r="I2" s="14"/>
      <c r="J2" s="14"/>
      <c r="K2" s="14"/>
      <c r="L2" s="14"/>
    </row>
    <row r="3" spans="1:12">
      <c r="A3" s="15" t="s">
        <v>4</v>
      </c>
      <c r="B3" s="13"/>
      <c r="C3" s="202">
        <v>3.8519999999999999E-2</v>
      </c>
      <c r="D3" s="14"/>
      <c r="E3" s="11"/>
      <c r="F3" s="14"/>
      <c r="G3" s="14"/>
      <c r="H3" s="11"/>
      <c r="I3" s="14"/>
      <c r="J3" s="14"/>
      <c r="K3" s="14"/>
      <c r="L3" s="14"/>
    </row>
    <row r="4" spans="1:12">
      <c r="A4" s="14"/>
      <c r="B4" s="14"/>
      <c r="C4" s="14"/>
      <c r="D4" s="14"/>
      <c r="E4" s="11"/>
      <c r="F4" s="14"/>
      <c r="G4" s="14"/>
      <c r="H4" s="11"/>
      <c r="I4" s="14"/>
      <c r="J4" s="14"/>
      <c r="K4" s="14"/>
      <c r="L4" s="14"/>
    </row>
    <row r="5" spans="1:12">
      <c r="A5" s="96"/>
      <c r="B5" s="96"/>
      <c r="C5" s="117"/>
      <c r="D5" s="117"/>
      <c r="E5" s="11"/>
      <c r="F5" s="14"/>
      <c r="G5" s="14"/>
      <c r="H5" s="11"/>
      <c r="K5" s="14"/>
      <c r="L5" s="14"/>
    </row>
    <row r="6" spans="1:12" ht="12" thickBot="1">
      <c r="A6" s="123" t="s">
        <v>5</v>
      </c>
      <c r="B6" s="124"/>
      <c r="C6" s="124"/>
      <c r="D6" s="125"/>
      <c r="E6" s="11"/>
      <c r="F6" s="14"/>
      <c r="G6" s="14"/>
      <c r="H6" s="11"/>
      <c r="K6" s="14"/>
      <c r="L6" s="14"/>
    </row>
    <row r="7" spans="1:12">
      <c r="A7" s="78" t="s">
        <v>5</v>
      </c>
      <c r="B7" s="78" t="s">
        <v>6</v>
      </c>
      <c r="C7" s="17" t="s">
        <v>7</v>
      </c>
      <c r="D7" s="210">
        <v>1.931333</v>
      </c>
      <c r="E7" s="11"/>
      <c r="F7" s="14"/>
      <c r="G7" s="14"/>
      <c r="H7" s="11"/>
      <c r="J7" s="2"/>
      <c r="K7" s="14"/>
      <c r="L7" s="14"/>
    </row>
    <row r="8" spans="1:12">
      <c r="A8" s="79" t="s">
        <v>5</v>
      </c>
      <c r="B8" s="79" t="s">
        <v>8</v>
      </c>
      <c r="C8" s="18" t="s">
        <v>7</v>
      </c>
      <c r="D8" s="235">
        <v>1.931333</v>
      </c>
      <c r="E8" s="11"/>
      <c r="F8" s="14"/>
      <c r="G8" s="14"/>
      <c r="H8" s="11"/>
      <c r="J8" s="2"/>
      <c r="K8" s="11"/>
      <c r="L8" s="14"/>
    </row>
    <row r="9" spans="1:12">
      <c r="A9" s="79" t="s">
        <v>5</v>
      </c>
      <c r="B9" s="79" t="s">
        <v>9</v>
      </c>
      <c r="C9" s="18" t="s">
        <v>7</v>
      </c>
      <c r="D9" s="235">
        <v>1.931333</v>
      </c>
      <c r="E9" s="11"/>
      <c r="F9" s="14"/>
      <c r="G9" s="14"/>
      <c r="H9" s="11"/>
      <c r="J9" s="2"/>
      <c r="K9" s="14"/>
      <c r="L9" s="11"/>
    </row>
    <row r="10" spans="1:12">
      <c r="A10" s="79" t="s">
        <v>5</v>
      </c>
      <c r="B10" s="79" t="s">
        <v>10</v>
      </c>
      <c r="C10" s="18" t="s">
        <v>7</v>
      </c>
      <c r="D10" s="235">
        <v>1.931333</v>
      </c>
      <c r="E10" s="11"/>
      <c r="F10" s="14"/>
      <c r="G10" s="14"/>
      <c r="H10" s="11"/>
      <c r="K10" s="14"/>
      <c r="L10" s="11"/>
    </row>
    <row r="11" spans="1:12">
      <c r="A11" s="79" t="s">
        <v>5</v>
      </c>
      <c r="B11" s="79" t="s">
        <v>11</v>
      </c>
      <c r="C11" s="18" t="s">
        <v>7</v>
      </c>
      <c r="D11" s="235">
        <v>1.931333</v>
      </c>
      <c r="E11" s="11"/>
      <c r="F11" s="14"/>
      <c r="G11" s="14"/>
      <c r="H11" s="11"/>
      <c r="K11" s="14"/>
      <c r="L11" s="14"/>
    </row>
    <row r="12" spans="1:12" ht="12" thickBot="1">
      <c r="A12" s="80" t="s">
        <v>5</v>
      </c>
      <c r="B12" s="80" t="s">
        <v>12</v>
      </c>
      <c r="C12" s="116" t="s">
        <v>7</v>
      </c>
      <c r="D12" s="250">
        <v>1.931333</v>
      </c>
      <c r="E12" s="11"/>
      <c r="F12" s="14"/>
      <c r="G12" s="14"/>
      <c r="H12" s="11"/>
      <c r="K12" s="14"/>
      <c r="L12" s="14"/>
    </row>
    <row r="13" spans="1:12">
      <c r="A13" s="96"/>
      <c r="B13" s="96"/>
      <c r="C13" s="121"/>
      <c r="D13" s="122"/>
      <c r="E13" s="11"/>
      <c r="F13" s="14"/>
      <c r="G13" s="11"/>
      <c r="H13" s="11"/>
      <c r="I13" s="11"/>
      <c r="J13" s="11"/>
      <c r="K13" s="14"/>
      <c r="L13" s="14"/>
    </row>
    <row r="14" spans="1:12" ht="12" thickBot="1">
      <c r="A14" s="98" t="s">
        <v>13</v>
      </c>
      <c r="B14" s="99"/>
      <c r="C14" s="99"/>
      <c r="D14" s="100"/>
      <c r="E14" s="11"/>
      <c r="F14" s="131"/>
      <c r="G14" s="132" t="s">
        <v>14</v>
      </c>
      <c r="H14" s="114" t="s">
        <v>7</v>
      </c>
      <c r="I14" s="14"/>
      <c r="J14" s="14"/>
      <c r="K14" s="14"/>
      <c r="L14" s="14"/>
    </row>
    <row r="15" spans="1:12" ht="12" thickBot="1">
      <c r="A15" s="77" t="s">
        <v>15</v>
      </c>
      <c r="B15" s="78" t="s">
        <v>16</v>
      </c>
      <c r="C15" s="17" t="s">
        <v>7</v>
      </c>
      <c r="D15" s="101">
        <f>+'Max CCI'!C34</f>
        <v>18.638576</v>
      </c>
      <c r="E15" s="11"/>
      <c r="F15" s="133" t="s">
        <v>17</v>
      </c>
      <c r="G15" s="131"/>
      <c r="H15" s="134">
        <v>0</v>
      </c>
      <c r="K15" s="14"/>
      <c r="L15" s="14"/>
    </row>
    <row r="16" spans="1:12" ht="12" thickBot="1">
      <c r="A16" s="79" t="s">
        <v>18</v>
      </c>
      <c r="B16" s="79" t="s">
        <v>17</v>
      </c>
      <c r="C16" s="19" t="s">
        <v>7</v>
      </c>
      <c r="D16" s="120">
        <f>+H15</f>
        <v>0</v>
      </c>
      <c r="E16" s="11" t="s">
        <v>19</v>
      </c>
      <c r="F16" s="133" t="s">
        <v>20</v>
      </c>
      <c r="G16" s="131"/>
      <c r="H16" s="213">
        <v>3.8211800000000004E-2</v>
      </c>
      <c r="I16" s="11"/>
      <c r="J16" s="14"/>
      <c r="K16" s="14"/>
      <c r="L16" s="14"/>
    </row>
    <row r="17" spans="1:14" ht="12" thickBot="1">
      <c r="A17" s="79" t="s">
        <v>18</v>
      </c>
      <c r="B17" s="79" t="s">
        <v>21</v>
      </c>
      <c r="C17" s="94" t="s">
        <v>14</v>
      </c>
      <c r="D17" s="120">
        <f>+G17</f>
        <v>0</v>
      </c>
      <c r="E17" s="11"/>
      <c r="F17" s="133" t="s">
        <v>21</v>
      </c>
      <c r="G17" s="231">
        <v>0</v>
      </c>
      <c r="H17" s="131"/>
      <c r="I17" s="3"/>
      <c r="J17" s="14"/>
      <c r="K17" s="14"/>
      <c r="L17" s="14"/>
    </row>
    <row r="18" spans="1:14" ht="12" thickBot="1">
      <c r="A18" s="79" t="s">
        <v>18</v>
      </c>
      <c r="B18" s="79" t="s">
        <v>22</v>
      </c>
      <c r="C18" s="94" t="s">
        <v>14</v>
      </c>
      <c r="D18" s="120">
        <f>+G18</f>
        <v>0</v>
      </c>
      <c r="E18" s="11"/>
      <c r="F18" s="133" t="s">
        <v>22</v>
      </c>
      <c r="G18" s="211">
        <v>0</v>
      </c>
      <c r="H18" s="184"/>
      <c r="I18" s="14"/>
      <c r="J18" s="14"/>
      <c r="K18" s="14"/>
      <c r="L18" s="14"/>
    </row>
    <row r="19" spans="1:14" ht="12" thickBot="1">
      <c r="A19" s="79" t="s">
        <v>23</v>
      </c>
      <c r="B19" s="79" t="s">
        <v>24</v>
      </c>
      <c r="C19" s="93" t="s">
        <v>14</v>
      </c>
      <c r="D19" s="120">
        <f>+G19</f>
        <v>7.9459999999999999E-3</v>
      </c>
      <c r="E19" s="11"/>
      <c r="F19" s="133" t="s">
        <v>24</v>
      </c>
      <c r="G19" s="231">
        <v>7.9459999999999999E-3</v>
      </c>
      <c r="H19" s="131"/>
      <c r="I19" s="14"/>
      <c r="J19" s="14"/>
      <c r="K19" s="14"/>
      <c r="L19" s="14"/>
    </row>
    <row r="20" spans="1:14" ht="12" thickBot="1">
      <c r="A20" s="79" t="s">
        <v>23</v>
      </c>
      <c r="B20" s="79" t="s">
        <v>25</v>
      </c>
      <c r="C20" s="19" t="s">
        <v>26</v>
      </c>
      <c r="D20" s="118">
        <f>+G20</f>
        <v>55.39</v>
      </c>
      <c r="E20" s="11"/>
      <c r="F20" s="133" t="s">
        <v>27</v>
      </c>
      <c r="G20" s="232">
        <v>55.39</v>
      </c>
      <c r="H20" s="131"/>
      <c r="I20" s="14"/>
      <c r="J20" s="141"/>
      <c r="K20" s="14"/>
      <c r="L20" s="14"/>
    </row>
    <row r="21" spans="1:14" ht="12" thickBot="1">
      <c r="A21" s="80" t="s">
        <v>23</v>
      </c>
      <c r="B21" s="80" t="s">
        <v>28</v>
      </c>
      <c r="C21" s="20" t="s">
        <v>26</v>
      </c>
      <c r="D21" s="119">
        <f>+G21</f>
        <v>0</v>
      </c>
      <c r="E21" s="11"/>
      <c r="F21" s="133" t="s">
        <v>29</v>
      </c>
      <c r="G21" s="249">
        <v>0</v>
      </c>
      <c r="H21" s="1" t="s">
        <v>483</v>
      </c>
      <c r="J21" s="141"/>
      <c r="K21" s="14"/>
      <c r="L21" s="14"/>
    </row>
    <row r="22" spans="1:14" ht="12" thickBot="1">
      <c r="A22" s="14"/>
      <c r="B22" s="14"/>
      <c r="C22" s="16"/>
      <c r="D22" s="11"/>
      <c r="E22" s="11"/>
      <c r="F22" s="133" t="s">
        <v>30</v>
      </c>
      <c r="G22" s="233">
        <v>2.6200000000000001E-2</v>
      </c>
      <c r="H22" s="131"/>
      <c r="I22" s="11"/>
      <c r="J22" s="11"/>
      <c r="K22" s="14"/>
      <c r="L22" s="14"/>
    </row>
    <row r="23" spans="1:14">
      <c r="A23" s="95"/>
      <c r="B23" s="96"/>
      <c r="C23" s="97"/>
      <c r="D23" s="11"/>
      <c r="E23" s="11"/>
      <c r="F23" s="96"/>
      <c r="G23" s="14"/>
      <c r="H23" s="14"/>
      <c r="I23" s="14"/>
      <c r="J23" s="14"/>
      <c r="K23" s="14"/>
      <c r="L23" s="14"/>
    </row>
    <row r="24" spans="1:14">
      <c r="A24" s="14"/>
      <c r="B24" s="142">
        <v>1</v>
      </c>
      <c r="C24" s="143">
        <v>2</v>
      </c>
      <c r="D24" s="168">
        <v>3</v>
      </c>
      <c r="E24" s="168">
        <v>4</v>
      </c>
      <c r="F24" s="168">
        <v>5</v>
      </c>
      <c r="G24" s="168">
        <v>6</v>
      </c>
      <c r="H24" s="168">
        <v>7</v>
      </c>
      <c r="I24" s="168">
        <v>8</v>
      </c>
      <c r="J24" s="168">
        <v>9</v>
      </c>
      <c r="K24" s="168">
        <v>10</v>
      </c>
      <c r="L24" s="14"/>
    </row>
    <row r="25" spans="1:14" ht="13.5" thickBot="1">
      <c r="A25" s="171" t="s">
        <v>31</v>
      </c>
      <c r="B25" s="14"/>
      <c r="C25" s="16"/>
      <c r="D25" s="81" t="s">
        <v>32</v>
      </c>
      <c r="E25" s="81" t="s">
        <v>33</v>
      </c>
      <c r="F25" s="12" t="s">
        <v>34</v>
      </c>
      <c r="G25" s="12" t="s">
        <v>35</v>
      </c>
      <c r="H25" s="12" t="s">
        <v>36</v>
      </c>
      <c r="I25" s="12" t="s">
        <v>37</v>
      </c>
      <c r="J25" s="12" t="s">
        <v>38</v>
      </c>
      <c r="K25" s="12" t="s">
        <v>39</v>
      </c>
      <c r="L25" s="15" t="s">
        <v>40</v>
      </c>
      <c r="M25"/>
      <c r="N25"/>
    </row>
    <row r="26" spans="1:14" ht="12.75">
      <c r="A26" s="85" t="s">
        <v>41</v>
      </c>
      <c r="B26" s="85" t="s">
        <v>6</v>
      </c>
      <c r="C26" s="86" t="s">
        <v>42</v>
      </c>
      <c r="D26" s="236">
        <v>0</v>
      </c>
      <c r="E26" s="236">
        <v>10.7315</v>
      </c>
      <c r="F26" s="236">
        <v>9.8223000000000003</v>
      </c>
      <c r="G26" s="236">
        <v>9.8635999999999999</v>
      </c>
      <c r="H26" s="236">
        <v>7.3700999999999999</v>
      </c>
      <c r="I26" s="236">
        <v>3.7332999999999998</v>
      </c>
      <c r="J26" s="236">
        <v>1.8322000000000001</v>
      </c>
      <c r="K26" s="236">
        <v>0.50970000000000004</v>
      </c>
      <c r="L26" s="193"/>
      <c r="M26"/>
      <c r="N26"/>
    </row>
    <row r="27" spans="1:14" ht="12.75">
      <c r="A27" s="79" t="s">
        <v>41</v>
      </c>
      <c r="B27" s="79" t="s">
        <v>8</v>
      </c>
      <c r="C27" s="19" t="s">
        <v>42</v>
      </c>
      <c r="D27" s="237">
        <v>0</v>
      </c>
      <c r="E27" s="237">
        <v>7.9367000000000001</v>
      </c>
      <c r="F27" s="237">
        <v>7.2643000000000004</v>
      </c>
      <c r="G27" s="237">
        <v>7.2949000000000002</v>
      </c>
      <c r="H27" s="237">
        <v>5.4508000000000001</v>
      </c>
      <c r="I27" s="237">
        <v>2.7610000000000001</v>
      </c>
      <c r="J27" s="237">
        <v>1.3551</v>
      </c>
      <c r="K27" s="237">
        <v>0.377</v>
      </c>
      <c r="L27" s="173"/>
      <c r="M27"/>
      <c r="N27"/>
    </row>
    <row r="28" spans="1:14" ht="12.75">
      <c r="A28" s="79" t="s">
        <v>41</v>
      </c>
      <c r="B28" s="79" t="s">
        <v>9</v>
      </c>
      <c r="C28" s="19" t="s">
        <v>42</v>
      </c>
      <c r="D28" s="237">
        <v>0</v>
      </c>
      <c r="E28" s="237">
        <v>11.1183</v>
      </c>
      <c r="F28" s="237">
        <v>10.176299999999999</v>
      </c>
      <c r="G28" s="237">
        <v>10.219099999999999</v>
      </c>
      <c r="H28" s="237">
        <v>7.6357999999999997</v>
      </c>
      <c r="I28" s="237">
        <v>3.8677999999999999</v>
      </c>
      <c r="J28" s="237">
        <v>1.8982000000000001</v>
      </c>
      <c r="K28" s="237">
        <v>0.52810000000000001</v>
      </c>
      <c r="L28" s="173"/>
      <c r="M28"/>
      <c r="N28"/>
    </row>
    <row r="29" spans="1:14" ht="12.75">
      <c r="A29" s="79" t="s">
        <v>41</v>
      </c>
      <c r="B29" s="79" t="s">
        <v>10</v>
      </c>
      <c r="C29" s="19" t="s">
        <v>42</v>
      </c>
      <c r="D29" s="237">
        <v>0</v>
      </c>
      <c r="E29" s="237">
        <v>13.2517</v>
      </c>
      <c r="F29" s="237">
        <v>12.129</v>
      </c>
      <c r="G29" s="237">
        <v>12.18</v>
      </c>
      <c r="H29" s="237">
        <v>9.1010000000000009</v>
      </c>
      <c r="I29" s="237">
        <v>4.6100000000000003</v>
      </c>
      <c r="J29" s="237">
        <v>2.2625000000000002</v>
      </c>
      <c r="K29" s="237">
        <v>0.62939999999999996</v>
      </c>
      <c r="L29" s="194"/>
      <c r="M29"/>
      <c r="N29"/>
    </row>
    <row r="30" spans="1:14" ht="12.75">
      <c r="A30" s="79" t="s">
        <v>41</v>
      </c>
      <c r="B30" s="79" t="s">
        <v>11</v>
      </c>
      <c r="C30" s="19" t="s">
        <v>42</v>
      </c>
      <c r="D30" s="237">
        <v>0</v>
      </c>
      <c r="E30" s="237">
        <v>19.380099999999999</v>
      </c>
      <c r="F30" s="237">
        <v>17.738099999999999</v>
      </c>
      <c r="G30" s="237">
        <v>17.812799999999999</v>
      </c>
      <c r="H30" s="237">
        <v>13.309799999999999</v>
      </c>
      <c r="I30" s="237">
        <v>6.742</v>
      </c>
      <c r="J30" s="237">
        <v>3.3088000000000002</v>
      </c>
      <c r="K30" s="237">
        <v>0.92049999999999998</v>
      </c>
      <c r="L30" s="194"/>
      <c r="M30"/>
      <c r="N30"/>
    </row>
    <row r="31" spans="1:14" ht="12.75">
      <c r="A31" s="82" t="s">
        <v>41</v>
      </c>
      <c r="B31" s="82" t="s">
        <v>12</v>
      </c>
      <c r="C31" s="83" t="s">
        <v>42</v>
      </c>
      <c r="D31" s="238">
        <v>0</v>
      </c>
      <c r="E31" s="238">
        <v>25.857900000000001</v>
      </c>
      <c r="F31" s="238">
        <v>23.667100000000001</v>
      </c>
      <c r="G31" s="238">
        <v>23.7667</v>
      </c>
      <c r="H31" s="238">
        <v>17.758600000000001</v>
      </c>
      <c r="I31" s="238">
        <v>8.9954999999999998</v>
      </c>
      <c r="J31" s="238">
        <v>4.4147999999999996</v>
      </c>
      <c r="K31" s="238">
        <v>1.2282</v>
      </c>
      <c r="L31" s="195"/>
      <c r="M31"/>
      <c r="N31"/>
    </row>
    <row r="32" spans="1:14" ht="12.75">
      <c r="A32" s="79" t="s">
        <v>43</v>
      </c>
      <c r="B32" s="79" t="s">
        <v>43</v>
      </c>
      <c r="C32" s="19" t="s">
        <v>42</v>
      </c>
      <c r="D32" s="237">
        <v>3.4836999999999998</v>
      </c>
      <c r="E32" s="237">
        <v>3.4836999999999998</v>
      </c>
      <c r="F32" s="237">
        <v>3.4836999999999998</v>
      </c>
      <c r="G32" s="237">
        <v>3.4836999999999998</v>
      </c>
      <c r="H32" s="237">
        <v>3.4836999999999998</v>
      </c>
      <c r="I32" s="237">
        <v>3.4836999999999998</v>
      </c>
      <c r="J32" s="237">
        <v>1.7603</v>
      </c>
      <c r="K32" s="237">
        <v>1.7603</v>
      </c>
      <c r="L32" s="251"/>
      <c r="M32"/>
      <c r="N32">
        <f>D32/100</f>
        <v>3.4837E-2</v>
      </c>
    </row>
    <row r="33" spans="1:14" ht="12.75">
      <c r="A33" s="173" t="s">
        <v>44</v>
      </c>
      <c r="B33" s="173" t="s">
        <v>45</v>
      </c>
      <c r="C33" s="192" t="s">
        <v>42</v>
      </c>
      <c r="D33" s="234">
        <v>0</v>
      </c>
      <c r="E33" s="234">
        <v>4.96</v>
      </c>
      <c r="F33" s="234">
        <v>2.93</v>
      </c>
      <c r="G33" s="234">
        <v>2.37</v>
      </c>
      <c r="H33" s="234">
        <v>1.7000000000000002</v>
      </c>
      <c r="I33" s="234">
        <v>0.71000000000000008</v>
      </c>
      <c r="J33" s="234">
        <v>0</v>
      </c>
      <c r="K33" s="234">
        <v>0</v>
      </c>
      <c r="L33" s="79"/>
      <c r="M33"/>
      <c r="N33"/>
    </row>
    <row r="34" spans="1:14" ht="12.75">
      <c r="A34" s="173" t="s">
        <v>44</v>
      </c>
      <c r="B34" s="173" t="s">
        <v>46</v>
      </c>
      <c r="C34" s="192" t="s">
        <v>42</v>
      </c>
      <c r="D34" s="234">
        <v>0</v>
      </c>
      <c r="E34" s="234">
        <v>4.96</v>
      </c>
      <c r="F34" s="234">
        <v>2.93</v>
      </c>
      <c r="G34" s="234">
        <v>2.37</v>
      </c>
      <c r="H34" s="234">
        <v>1.7000000000000002</v>
      </c>
      <c r="I34" s="234">
        <v>0.71000000000000008</v>
      </c>
      <c r="J34" s="234">
        <v>0</v>
      </c>
      <c r="K34" s="234">
        <v>0</v>
      </c>
      <c r="L34" s="79"/>
      <c r="M34"/>
      <c r="N34"/>
    </row>
    <row r="35" spans="1:14" ht="12.75">
      <c r="A35" s="79" t="s">
        <v>47</v>
      </c>
      <c r="B35" s="79" t="s">
        <v>47</v>
      </c>
      <c r="C35" s="19" t="s">
        <v>42</v>
      </c>
      <c r="D35" s="237">
        <v>0.39069999999999999</v>
      </c>
      <c r="E35" s="237">
        <v>0.39069999999999999</v>
      </c>
      <c r="F35" s="237">
        <v>0.39069999999999999</v>
      </c>
      <c r="G35" s="237">
        <v>0.39069999999999999</v>
      </c>
      <c r="H35" s="237">
        <v>0.39069999999999999</v>
      </c>
      <c r="I35" s="237">
        <v>0.39069999999999999</v>
      </c>
      <c r="J35" s="237">
        <v>0.18259999999999998</v>
      </c>
      <c r="K35" s="237">
        <v>0.18259999999999998</v>
      </c>
      <c r="L35" s="79"/>
      <c r="M35"/>
      <c r="N35"/>
    </row>
    <row r="36" spans="1:14" ht="12.75">
      <c r="A36" s="79" t="s">
        <v>48</v>
      </c>
      <c r="B36" s="79" t="s">
        <v>48</v>
      </c>
      <c r="C36" s="19" t="s">
        <v>42</v>
      </c>
      <c r="D36" s="237">
        <v>2.9417</v>
      </c>
      <c r="E36" s="237">
        <v>2.9417</v>
      </c>
      <c r="F36" s="237">
        <v>2.9417</v>
      </c>
      <c r="G36" s="237">
        <v>2.9417</v>
      </c>
      <c r="H36" s="237">
        <v>2.9417</v>
      </c>
      <c r="I36" s="237">
        <v>2.9417</v>
      </c>
      <c r="J36" s="237">
        <v>1.5610999999999999</v>
      </c>
      <c r="K36" s="237">
        <v>1.5610999999999999</v>
      </c>
      <c r="L36" s="79"/>
      <c r="M36"/>
      <c r="N36"/>
    </row>
    <row r="37" spans="1:14" ht="12.75">
      <c r="A37" s="79" t="s">
        <v>49</v>
      </c>
      <c r="B37" s="79" t="s">
        <v>49</v>
      </c>
      <c r="C37" s="19" t="s">
        <v>42</v>
      </c>
      <c r="D37" s="237">
        <v>0.33200000000000002</v>
      </c>
      <c r="E37" s="237">
        <v>0.33200000000000002</v>
      </c>
      <c r="F37" s="237">
        <v>0.33200000000000002</v>
      </c>
      <c r="G37" s="237">
        <v>0.33200000000000002</v>
      </c>
      <c r="H37" s="237">
        <v>0.33200000000000002</v>
      </c>
      <c r="I37" s="237">
        <v>0.33200000000000002</v>
      </c>
      <c r="J37" s="237">
        <v>0.33200000000000002</v>
      </c>
      <c r="K37" s="237">
        <v>0.33200000000000002</v>
      </c>
      <c r="L37" s="79"/>
      <c r="M37"/>
      <c r="N37"/>
    </row>
    <row r="38" spans="1:14" ht="12.75">
      <c r="A38" s="79" t="s">
        <v>50</v>
      </c>
      <c r="B38" s="79" t="s">
        <v>50</v>
      </c>
      <c r="C38" s="19" t="s">
        <v>42</v>
      </c>
      <c r="D38" s="237">
        <v>2.7320000000000002</v>
      </c>
      <c r="E38" s="237">
        <v>2.7320000000000002</v>
      </c>
      <c r="F38" s="237">
        <v>2.7320000000000002</v>
      </c>
      <c r="G38" s="237">
        <v>2.7320000000000002</v>
      </c>
      <c r="H38" s="237">
        <v>2.7320000000000002</v>
      </c>
      <c r="I38" s="237">
        <v>2.7320000000000002</v>
      </c>
      <c r="J38" s="237">
        <v>2.7320000000000002</v>
      </c>
      <c r="K38" s="237">
        <v>2.7320000000000002</v>
      </c>
      <c r="L38" s="79"/>
      <c r="M38"/>
      <c r="N38"/>
    </row>
    <row r="39" spans="1:14" ht="12.75">
      <c r="A39" s="79" t="s">
        <v>51</v>
      </c>
      <c r="B39" s="79" t="s">
        <v>51</v>
      </c>
      <c r="C39" s="19" t="s">
        <v>42</v>
      </c>
      <c r="D39" s="237">
        <v>0.68810000000000004</v>
      </c>
      <c r="E39" s="237">
        <v>0.68810000000000004</v>
      </c>
      <c r="F39" s="237">
        <v>0.68810000000000004</v>
      </c>
      <c r="G39" s="237">
        <v>0.68810000000000004</v>
      </c>
      <c r="H39" s="237">
        <v>0.68810000000000004</v>
      </c>
      <c r="I39" s="237">
        <v>0.68810000000000004</v>
      </c>
      <c r="J39" s="237">
        <v>0.68810000000000004</v>
      </c>
      <c r="K39" s="237">
        <v>0.68810000000000004</v>
      </c>
      <c r="L39" s="79"/>
      <c r="M39"/>
      <c r="N39"/>
    </row>
    <row r="40" spans="1:14" ht="12.75">
      <c r="A40" s="79" t="s">
        <v>52</v>
      </c>
      <c r="B40" s="79" t="s">
        <v>52</v>
      </c>
      <c r="C40" s="19" t="s">
        <v>42</v>
      </c>
      <c r="D40" s="237">
        <v>0.27879999999999999</v>
      </c>
      <c r="E40" s="237">
        <v>0.27879999999999999</v>
      </c>
      <c r="F40" s="237">
        <v>0.27879999999999999</v>
      </c>
      <c r="G40" s="237">
        <v>0.27879999999999999</v>
      </c>
      <c r="H40" s="237">
        <v>0.27879999999999999</v>
      </c>
      <c r="I40" s="237">
        <v>0.27879999999999999</v>
      </c>
      <c r="J40" s="237">
        <v>0.1409</v>
      </c>
      <c r="K40" s="237">
        <v>0.1409</v>
      </c>
      <c r="L40" s="79"/>
      <c r="M40"/>
      <c r="N40"/>
    </row>
    <row r="41" spans="1:14" ht="12.75">
      <c r="A41" s="79" t="s">
        <v>53</v>
      </c>
      <c r="B41" s="79" t="s">
        <v>53</v>
      </c>
      <c r="C41" s="19" t="s">
        <v>42</v>
      </c>
      <c r="D41" s="237">
        <v>0.72919999999999996</v>
      </c>
      <c r="E41" s="237">
        <v>0.72919999999999996</v>
      </c>
      <c r="F41" s="237">
        <v>0.72919999999999996</v>
      </c>
      <c r="G41" s="237">
        <v>0.72919999999999996</v>
      </c>
      <c r="H41" s="237">
        <v>0.72919999999999996</v>
      </c>
      <c r="I41" s="237">
        <v>0.72919999999999996</v>
      </c>
      <c r="J41" s="237">
        <v>0.72919999999999996</v>
      </c>
      <c r="K41" s="237">
        <v>0.72919999999999996</v>
      </c>
      <c r="L41" s="79"/>
      <c r="M41"/>
      <c r="N41"/>
    </row>
    <row r="42" spans="1:14" ht="13.5" thickBot="1">
      <c r="A42" s="82" t="s">
        <v>44</v>
      </c>
      <c r="B42" s="82" t="s">
        <v>54</v>
      </c>
      <c r="C42" s="83" t="s">
        <v>26</v>
      </c>
      <c r="D42" s="203">
        <v>-21.63</v>
      </c>
      <c r="E42" s="276"/>
      <c r="F42" s="276"/>
      <c r="G42" s="276"/>
      <c r="H42" s="276"/>
      <c r="I42" s="276"/>
      <c r="J42" s="276"/>
      <c r="K42" s="276"/>
      <c r="L42" s="196"/>
      <c r="M42"/>
      <c r="N42"/>
    </row>
    <row r="43" spans="1:14" ht="13.5" thickBot="1">
      <c r="A43"/>
      <c r="B43">
        <v>1</v>
      </c>
      <c r="C43">
        <v>2</v>
      </c>
      <c r="D43" s="143">
        <v>3</v>
      </c>
      <c r="E43" s="168">
        <v>4</v>
      </c>
      <c r="F43" s="168">
        <v>5</v>
      </c>
      <c r="G43"/>
      <c r="H43"/>
      <c r="I43"/>
      <c r="J43"/>
      <c r="K43"/>
      <c r="L43"/>
      <c r="M43"/>
      <c r="N43"/>
    </row>
    <row r="44" spans="1:14" ht="13.5" thickBot="1">
      <c r="A44" s="13" t="s">
        <v>55</v>
      </c>
      <c r="B44" s="14"/>
      <c r="C44" s="197" t="s">
        <v>56</v>
      </c>
      <c r="D44" s="198" t="s">
        <v>57</v>
      </c>
      <c r="E44" s="198" t="s">
        <v>58</v>
      </c>
      <c r="F44" s="197" t="s">
        <v>59</v>
      </c>
      <c r="G44" s="12"/>
      <c r="H44" s="12"/>
      <c r="I44" s="12"/>
      <c r="J44" s="12"/>
      <c r="K44" s="12"/>
      <c r="L44" s="15"/>
      <c r="M44"/>
      <c r="N44"/>
    </row>
    <row r="45" spans="1:14" ht="12.75">
      <c r="A45" s="172" t="s">
        <v>60</v>
      </c>
      <c r="B45" s="172" t="s">
        <v>6</v>
      </c>
      <c r="C45" s="86" t="s">
        <v>26</v>
      </c>
      <c r="D45" s="203">
        <v>49.52</v>
      </c>
      <c r="E45" s="203">
        <v>375.6</v>
      </c>
      <c r="F45" s="203">
        <v>726.93</v>
      </c>
      <c r="G45" s="87"/>
      <c r="H45" s="87"/>
      <c r="I45" s="87"/>
      <c r="J45" s="87"/>
      <c r="K45" s="87"/>
      <c r="L45" s="135"/>
      <c r="M45"/>
      <c r="N45"/>
    </row>
    <row r="46" spans="1:14" ht="12.75">
      <c r="A46" s="173" t="s">
        <v>60</v>
      </c>
      <c r="B46" s="173" t="s">
        <v>8</v>
      </c>
      <c r="C46" s="19" t="s">
        <v>26</v>
      </c>
      <c r="D46" s="203">
        <v>40.26</v>
      </c>
      <c r="E46" s="204">
        <v>295.72000000000003</v>
      </c>
      <c r="F46" s="203">
        <v>604.12</v>
      </c>
      <c r="G46" s="84"/>
      <c r="H46" s="84"/>
      <c r="I46" s="84"/>
      <c r="J46" s="84"/>
      <c r="K46" s="84"/>
      <c r="L46" s="136"/>
      <c r="M46"/>
      <c r="N46"/>
    </row>
    <row r="47" spans="1:14" ht="12.75">
      <c r="A47" s="173" t="s">
        <v>60</v>
      </c>
      <c r="B47" s="173" t="s">
        <v>9</v>
      </c>
      <c r="C47" s="19" t="s">
        <v>26</v>
      </c>
      <c r="D47" s="203">
        <v>44.77</v>
      </c>
      <c r="E47" s="204">
        <v>323.58</v>
      </c>
      <c r="F47" s="203">
        <v>666.35</v>
      </c>
      <c r="G47" s="84"/>
      <c r="H47" s="84"/>
      <c r="I47" s="84"/>
      <c r="J47" s="84"/>
      <c r="K47" s="84"/>
      <c r="L47" s="136"/>
      <c r="M47"/>
      <c r="N47"/>
    </row>
    <row r="48" spans="1:14" ht="12.75">
      <c r="A48" s="173" t="s">
        <v>60</v>
      </c>
      <c r="B48" s="173" t="s">
        <v>10</v>
      </c>
      <c r="C48" s="19" t="s">
        <v>26</v>
      </c>
      <c r="D48" s="203">
        <v>38.1</v>
      </c>
      <c r="E48" s="204">
        <v>284.19</v>
      </c>
      <c r="F48" s="203">
        <v>587.85</v>
      </c>
      <c r="G48" s="84"/>
      <c r="H48" s="84"/>
      <c r="I48" s="84"/>
      <c r="J48" s="84"/>
      <c r="K48" s="84"/>
      <c r="L48" s="136"/>
      <c r="M48"/>
      <c r="N48"/>
    </row>
    <row r="49" spans="1:14" ht="12.75">
      <c r="A49" s="173" t="s">
        <v>60</v>
      </c>
      <c r="B49" s="173" t="s">
        <v>11</v>
      </c>
      <c r="C49" s="19" t="s">
        <v>26</v>
      </c>
      <c r="D49" s="203">
        <v>54.02</v>
      </c>
      <c r="E49" s="204">
        <v>423.15</v>
      </c>
      <c r="F49" s="203">
        <v>854.31</v>
      </c>
      <c r="G49" s="84"/>
      <c r="H49" s="84"/>
      <c r="I49" s="84"/>
      <c r="J49" s="84"/>
      <c r="K49" s="84"/>
      <c r="L49" s="136"/>
      <c r="M49"/>
      <c r="N49"/>
    </row>
    <row r="50" spans="1:14" ht="12.75">
      <c r="A50" s="174" t="s">
        <v>60</v>
      </c>
      <c r="B50" s="174" t="s">
        <v>12</v>
      </c>
      <c r="C50" s="83" t="s">
        <v>26</v>
      </c>
      <c r="D50" s="205">
        <v>65.319999999999993</v>
      </c>
      <c r="E50" s="206">
        <v>471.95</v>
      </c>
      <c r="F50" s="205">
        <v>1018.27</v>
      </c>
      <c r="G50" s="88"/>
      <c r="H50" s="88"/>
      <c r="I50" s="88"/>
      <c r="J50" s="88"/>
      <c r="K50" s="88"/>
      <c r="L50" s="137"/>
      <c r="M50"/>
      <c r="N50"/>
    </row>
    <row r="51" spans="1:14" ht="12.75">
      <c r="A51" s="172" t="s">
        <v>61</v>
      </c>
      <c r="B51" s="172" t="s">
        <v>6</v>
      </c>
      <c r="C51" s="86" t="s">
        <v>26</v>
      </c>
      <c r="D51" s="207">
        <v>29.23</v>
      </c>
      <c r="E51" s="208">
        <v>210.52</v>
      </c>
      <c r="F51" s="207">
        <v>405.84</v>
      </c>
      <c r="G51" s="87"/>
      <c r="H51" s="87"/>
      <c r="I51" s="87"/>
      <c r="J51" s="87"/>
      <c r="K51" s="87"/>
      <c r="L51" s="135"/>
      <c r="M51"/>
      <c r="N51"/>
    </row>
    <row r="52" spans="1:14" ht="12.75">
      <c r="A52" s="173" t="s">
        <v>61</v>
      </c>
      <c r="B52" s="173" t="s">
        <v>8</v>
      </c>
      <c r="C52" s="19" t="s">
        <v>26</v>
      </c>
      <c r="D52" s="203">
        <v>27.33</v>
      </c>
      <c r="E52" s="204">
        <v>189.98</v>
      </c>
      <c r="F52" s="203">
        <v>386.34</v>
      </c>
      <c r="G52" s="84"/>
      <c r="H52" s="84"/>
      <c r="I52" s="84"/>
      <c r="J52" s="84"/>
      <c r="K52" s="84"/>
      <c r="L52" s="136"/>
      <c r="M52"/>
      <c r="N52"/>
    </row>
    <row r="53" spans="1:14" ht="12.75">
      <c r="A53" s="173" t="s">
        <v>61</v>
      </c>
      <c r="B53" s="173" t="s">
        <v>9</v>
      </c>
      <c r="C53" s="19" t="s">
        <v>26</v>
      </c>
      <c r="D53" s="203">
        <v>26.81</v>
      </c>
      <c r="E53" s="204">
        <v>183.2</v>
      </c>
      <c r="F53" s="203">
        <v>375.46</v>
      </c>
      <c r="G53" s="84"/>
      <c r="H53" s="84"/>
      <c r="I53" s="84"/>
      <c r="J53" s="84"/>
      <c r="K53" s="84"/>
      <c r="L53" s="136"/>
      <c r="M53"/>
      <c r="N53"/>
    </row>
    <row r="54" spans="1:14" ht="12.75">
      <c r="A54" s="173" t="s">
        <v>61</v>
      </c>
      <c r="B54" s="173" t="s">
        <v>10</v>
      </c>
      <c r="C54" s="19" t="s">
        <v>26</v>
      </c>
      <c r="D54" s="203">
        <v>27.67</v>
      </c>
      <c r="E54" s="204">
        <v>195.4</v>
      </c>
      <c r="F54" s="203">
        <v>402.37</v>
      </c>
      <c r="G54" s="84"/>
      <c r="H54" s="84"/>
      <c r="I54" s="84"/>
      <c r="J54" s="84"/>
      <c r="K54" s="84"/>
      <c r="L54" s="136"/>
      <c r="M54"/>
      <c r="N54"/>
    </row>
    <row r="55" spans="1:14" ht="12.75">
      <c r="A55" s="173" t="s">
        <v>61</v>
      </c>
      <c r="B55" s="173" t="s">
        <v>11</v>
      </c>
      <c r="C55" s="19" t="s">
        <v>26</v>
      </c>
      <c r="D55" s="203">
        <v>31.39</v>
      </c>
      <c r="E55" s="204">
        <v>234.26</v>
      </c>
      <c r="F55" s="203">
        <v>471.23</v>
      </c>
      <c r="G55" s="84"/>
      <c r="H55" s="84"/>
      <c r="I55" s="84"/>
      <c r="J55" s="84"/>
      <c r="K55" s="84"/>
      <c r="L55" s="136"/>
      <c r="M55"/>
      <c r="N55"/>
    </row>
    <row r="56" spans="1:14" ht="12.75">
      <c r="A56" s="174" t="s">
        <v>61</v>
      </c>
      <c r="B56" s="174" t="s">
        <v>12</v>
      </c>
      <c r="C56" s="83" t="s">
        <v>26</v>
      </c>
      <c r="D56" s="205">
        <v>28.99</v>
      </c>
      <c r="E56" s="206">
        <v>198.85</v>
      </c>
      <c r="F56" s="205">
        <v>427.07</v>
      </c>
      <c r="G56" s="88"/>
      <c r="H56" s="88"/>
      <c r="I56" s="88"/>
      <c r="J56" s="88"/>
      <c r="K56" s="88"/>
      <c r="L56" s="137"/>
      <c r="M56"/>
      <c r="N56"/>
    </row>
    <row r="57" spans="1:14" ht="12.75">
      <c r="A57" s="172" t="s">
        <v>62</v>
      </c>
      <c r="B57" s="172" t="s">
        <v>6</v>
      </c>
      <c r="C57" s="86" t="s">
        <v>26</v>
      </c>
      <c r="D57" s="239">
        <v>2.0099999999999998</v>
      </c>
      <c r="E57" s="239">
        <v>2.0099999999999998</v>
      </c>
      <c r="F57" s="239">
        <v>2.0099999999999998</v>
      </c>
      <c r="G57" s="87"/>
      <c r="H57" s="87"/>
      <c r="I57" s="87"/>
      <c r="J57" s="87"/>
      <c r="K57" s="87"/>
      <c r="L57" s="135"/>
      <c r="M57"/>
      <c r="N57"/>
    </row>
    <row r="58" spans="1:14" ht="12.75">
      <c r="A58" s="173" t="s">
        <v>62</v>
      </c>
      <c r="B58" s="173" t="s">
        <v>8</v>
      </c>
      <c r="C58" s="19" t="s">
        <v>26</v>
      </c>
      <c r="D58" s="240">
        <v>2.0099999999999998</v>
      </c>
      <c r="E58" s="240">
        <v>2.0099999999999998</v>
      </c>
      <c r="F58" s="240">
        <v>2.0099999999999998</v>
      </c>
      <c r="G58" s="84"/>
      <c r="H58" s="84"/>
      <c r="I58" s="84"/>
      <c r="J58" s="84"/>
      <c r="K58" s="84"/>
      <c r="L58" s="136"/>
      <c r="M58"/>
      <c r="N58"/>
    </row>
    <row r="59" spans="1:14" ht="12.75">
      <c r="A59" s="173" t="s">
        <v>62</v>
      </c>
      <c r="B59" s="173" t="s">
        <v>9</v>
      </c>
      <c r="C59" s="19" t="s">
        <v>26</v>
      </c>
      <c r="D59" s="240">
        <v>2.0099999999999998</v>
      </c>
      <c r="E59" s="240">
        <v>2.0099999999999998</v>
      </c>
      <c r="F59" s="240">
        <v>2.0099999999999998</v>
      </c>
      <c r="G59" s="84"/>
      <c r="H59" s="84"/>
      <c r="I59" s="84"/>
      <c r="J59" s="84"/>
      <c r="K59" s="84"/>
      <c r="L59" s="136"/>
      <c r="M59"/>
      <c r="N59"/>
    </row>
    <row r="60" spans="1:14" ht="12.75">
      <c r="A60" s="173" t="s">
        <v>62</v>
      </c>
      <c r="B60" s="173" t="s">
        <v>10</v>
      </c>
      <c r="C60" s="19" t="s">
        <v>26</v>
      </c>
      <c r="D60" s="240">
        <v>2.0099999999999998</v>
      </c>
      <c r="E60" s="240">
        <v>2.0099999999999998</v>
      </c>
      <c r="F60" s="240">
        <v>2.0099999999999998</v>
      </c>
      <c r="G60" s="84"/>
      <c r="H60" s="84"/>
      <c r="I60" s="84"/>
      <c r="J60" s="84"/>
      <c r="K60" s="84"/>
      <c r="L60" s="136"/>
      <c r="M60"/>
      <c r="N60"/>
    </row>
    <row r="61" spans="1:14" ht="12.75">
      <c r="A61" s="173" t="s">
        <v>62</v>
      </c>
      <c r="B61" s="173" t="s">
        <v>11</v>
      </c>
      <c r="C61" s="19" t="s">
        <v>26</v>
      </c>
      <c r="D61" s="240">
        <v>2.0099999999999998</v>
      </c>
      <c r="E61" s="240">
        <v>2.0099999999999998</v>
      </c>
      <c r="F61" s="240">
        <v>2.0099999999999998</v>
      </c>
      <c r="G61" s="84"/>
      <c r="H61" s="84"/>
      <c r="I61" s="84"/>
      <c r="J61" s="84"/>
      <c r="K61" s="84"/>
      <c r="L61" s="136"/>
      <c r="M61"/>
      <c r="N61"/>
    </row>
    <row r="62" spans="1:14" ht="12.75">
      <c r="A62" s="174" t="s">
        <v>62</v>
      </c>
      <c r="B62" s="174" t="s">
        <v>12</v>
      </c>
      <c r="C62" s="83" t="s">
        <v>26</v>
      </c>
      <c r="D62" s="241">
        <v>2.0099999999999998</v>
      </c>
      <c r="E62" s="241">
        <v>2.0099999999999998</v>
      </c>
      <c r="F62" s="241">
        <v>2.0099999999999998</v>
      </c>
      <c r="G62" s="88"/>
      <c r="H62" s="88"/>
      <c r="I62" s="88"/>
      <c r="J62" s="88"/>
      <c r="K62" s="88"/>
      <c r="L62" s="137"/>
      <c r="M62"/>
      <c r="N62"/>
    </row>
    <row r="63" spans="1:14" ht="12.75">
      <c r="A63" s="172" t="s">
        <v>63</v>
      </c>
      <c r="B63" s="172" t="s">
        <v>6</v>
      </c>
      <c r="C63" s="86" t="s">
        <v>26</v>
      </c>
      <c r="D63" s="239">
        <v>-0.23</v>
      </c>
      <c r="E63" s="199"/>
      <c r="F63" s="199"/>
      <c r="G63" s="199"/>
      <c r="H63" s="199"/>
      <c r="I63" s="199"/>
      <c r="J63" s="199"/>
      <c r="K63" s="199"/>
      <c r="L63" s="200"/>
      <c r="M63"/>
      <c r="N63"/>
    </row>
    <row r="64" spans="1:14" ht="12.75">
      <c r="A64" s="173" t="s">
        <v>63</v>
      </c>
      <c r="B64" s="173" t="s">
        <v>8</v>
      </c>
      <c r="C64" s="19" t="s">
        <v>26</v>
      </c>
      <c r="D64" s="240">
        <v>-0.35</v>
      </c>
      <c r="E64" s="199"/>
      <c r="F64" s="199"/>
      <c r="G64" s="199"/>
      <c r="H64" s="199"/>
      <c r="I64" s="199"/>
      <c r="J64" s="199"/>
      <c r="K64" s="199"/>
      <c r="L64" s="200"/>
      <c r="M64"/>
      <c r="N64"/>
    </row>
    <row r="65" spans="1:14" ht="12.75">
      <c r="A65" s="173" t="s">
        <v>63</v>
      </c>
      <c r="B65" s="173" t="s">
        <v>9</v>
      </c>
      <c r="C65" s="19" t="s">
        <v>26</v>
      </c>
      <c r="D65" s="240">
        <v>0</v>
      </c>
      <c r="E65" s="199"/>
      <c r="F65" s="199"/>
      <c r="G65" s="199"/>
      <c r="H65" s="199"/>
      <c r="I65" s="199"/>
      <c r="J65" s="199"/>
      <c r="K65" s="199"/>
      <c r="L65" s="200"/>
      <c r="M65"/>
      <c r="N65"/>
    </row>
    <row r="66" spans="1:14" ht="12.75">
      <c r="A66" s="173" t="s">
        <v>63</v>
      </c>
      <c r="B66" s="173" t="s">
        <v>10</v>
      </c>
      <c r="C66" s="19" t="s">
        <v>26</v>
      </c>
      <c r="D66" s="240">
        <v>0</v>
      </c>
      <c r="E66" s="199"/>
      <c r="F66" s="199"/>
      <c r="G66" s="199"/>
      <c r="H66" s="199"/>
      <c r="I66" s="199"/>
      <c r="J66" s="199"/>
      <c r="K66" s="199"/>
      <c r="L66" s="200"/>
      <c r="M66"/>
      <c r="N66"/>
    </row>
    <row r="67" spans="1:14" ht="12.75">
      <c r="A67" s="173" t="s">
        <v>63</v>
      </c>
      <c r="B67" s="173" t="s">
        <v>11</v>
      </c>
      <c r="C67" s="19" t="s">
        <v>26</v>
      </c>
      <c r="D67" s="240">
        <v>-0.35</v>
      </c>
      <c r="E67" s="199"/>
      <c r="F67" s="199"/>
      <c r="G67" s="199"/>
      <c r="H67" s="199"/>
      <c r="I67" s="199"/>
      <c r="J67" s="199"/>
      <c r="K67" s="199"/>
      <c r="L67" s="200"/>
      <c r="M67"/>
      <c r="N67"/>
    </row>
    <row r="68" spans="1:14" ht="12.75">
      <c r="A68" s="174" t="s">
        <v>63</v>
      </c>
      <c r="B68" s="174" t="s">
        <v>12</v>
      </c>
      <c r="C68" s="83" t="s">
        <v>26</v>
      </c>
      <c r="D68" s="241">
        <v>0</v>
      </c>
      <c r="E68" s="199"/>
      <c r="F68" s="199"/>
      <c r="G68" s="199"/>
      <c r="H68" s="199"/>
      <c r="I68" s="199"/>
      <c r="J68" s="199"/>
      <c r="K68" s="199"/>
      <c r="L68" s="200"/>
      <c r="M68"/>
      <c r="N68"/>
    </row>
    <row r="69" spans="1:14" ht="12.75">
      <c r="A69" s="172" t="s">
        <v>64</v>
      </c>
      <c r="B69" s="172" t="s">
        <v>6</v>
      </c>
      <c r="C69" s="86" t="s">
        <v>26</v>
      </c>
      <c r="D69" s="239">
        <v>7.0000000000000007E-2</v>
      </c>
      <c r="E69" s="199"/>
      <c r="F69" s="199"/>
      <c r="G69" s="199"/>
      <c r="H69" s="199"/>
      <c r="I69" s="199"/>
      <c r="J69" s="199"/>
      <c r="K69" s="199"/>
      <c r="L69" s="200"/>
      <c r="M69"/>
      <c r="N69"/>
    </row>
    <row r="70" spans="1:14" ht="12.75">
      <c r="A70" s="173" t="s">
        <v>64</v>
      </c>
      <c r="B70" s="173" t="s">
        <v>8</v>
      </c>
      <c r="C70" s="19" t="s">
        <v>26</v>
      </c>
      <c r="D70" s="240">
        <v>-0.01</v>
      </c>
      <c r="E70" s="199"/>
      <c r="F70" s="199"/>
      <c r="G70" s="199"/>
      <c r="H70" s="199"/>
      <c r="I70" s="199"/>
      <c r="J70" s="199"/>
      <c r="K70" s="199"/>
      <c r="L70" s="200"/>
      <c r="M70"/>
      <c r="N70"/>
    </row>
    <row r="71" spans="1:14" ht="12.75">
      <c r="A71" s="173" t="s">
        <v>64</v>
      </c>
      <c r="B71" s="173" t="s">
        <v>9</v>
      </c>
      <c r="C71" s="19" t="s">
        <v>26</v>
      </c>
      <c r="D71" s="240">
        <v>0</v>
      </c>
      <c r="E71" s="199"/>
      <c r="F71" s="199"/>
      <c r="G71" s="199"/>
      <c r="H71" s="199"/>
      <c r="I71" s="199"/>
      <c r="J71" s="199"/>
      <c r="K71" s="199"/>
      <c r="L71" s="200"/>
      <c r="M71"/>
      <c r="N71"/>
    </row>
    <row r="72" spans="1:14" ht="12.75">
      <c r="A72" s="173" t="s">
        <v>64</v>
      </c>
      <c r="B72" s="173" t="s">
        <v>10</v>
      </c>
      <c r="C72" s="19" t="s">
        <v>26</v>
      </c>
      <c r="D72" s="240">
        <v>0</v>
      </c>
      <c r="E72" s="199"/>
      <c r="F72" s="199"/>
      <c r="G72" s="199"/>
      <c r="H72" s="199"/>
      <c r="I72" s="199"/>
      <c r="J72" s="199"/>
      <c r="K72" s="199"/>
      <c r="L72" s="200"/>
      <c r="M72"/>
      <c r="N72"/>
    </row>
    <row r="73" spans="1:14" ht="12.75">
      <c r="A73" s="173" t="s">
        <v>64</v>
      </c>
      <c r="B73" s="173" t="s">
        <v>11</v>
      </c>
      <c r="C73" s="19" t="s">
        <v>26</v>
      </c>
      <c r="D73" s="240">
        <v>-0.37</v>
      </c>
      <c r="E73" s="199"/>
      <c r="F73" s="199"/>
      <c r="G73" s="199"/>
      <c r="H73" s="199"/>
      <c r="I73" s="199"/>
      <c r="J73" s="199"/>
      <c r="K73" s="199"/>
      <c r="L73" s="200"/>
      <c r="M73"/>
      <c r="N73"/>
    </row>
    <row r="74" spans="1:14" ht="12.75">
      <c r="A74" s="174" t="s">
        <v>64</v>
      </c>
      <c r="B74" s="174" t="s">
        <v>12</v>
      </c>
      <c r="C74" s="83" t="s">
        <v>26</v>
      </c>
      <c r="D74" s="241">
        <v>0</v>
      </c>
      <c r="E74" s="199"/>
      <c r="F74" s="199"/>
      <c r="G74" s="199"/>
      <c r="H74" s="199"/>
      <c r="I74" s="199"/>
      <c r="J74" s="199"/>
      <c r="K74" s="199"/>
      <c r="L74" s="200"/>
      <c r="M74"/>
      <c r="N74"/>
    </row>
    <row r="75" spans="1:14" ht="12.75">
      <c r="A75" s="172" t="s">
        <v>65</v>
      </c>
      <c r="B75" s="172" t="s">
        <v>6</v>
      </c>
      <c r="C75" s="86" t="s">
        <v>26</v>
      </c>
      <c r="D75" s="239">
        <v>0</v>
      </c>
      <c r="E75" s="199"/>
      <c r="F75" s="199"/>
      <c r="G75" s="199"/>
      <c r="H75" s="199"/>
      <c r="I75" s="199"/>
      <c r="J75" s="199"/>
      <c r="K75" s="199"/>
      <c r="L75" s="200"/>
      <c r="M75"/>
      <c r="N75"/>
    </row>
    <row r="76" spans="1:14" ht="12.75">
      <c r="A76" s="173" t="s">
        <v>65</v>
      </c>
      <c r="B76" s="173" t="s">
        <v>8</v>
      </c>
      <c r="C76" s="19" t="s">
        <v>26</v>
      </c>
      <c r="D76" s="240">
        <v>0</v>
      </c>
      <c r="E76" s="199"/>
      <c r="F76" s="199"/>
      <c r="G76" s="199"/>
      <c r="H76" s="199"/>
      <c r="I76" s="199"/>
      <c r="J76" s="199"/>
      <c r="K76" s="199"/>
      <c r="L76" s="200"/>
      <c r="M76"/>
      <c r="N76"/>
    </row>
    <row r="77" spans="1:14" ht="12.75">
      <c r="A77" s="173" t="s">
        <v>65</v>
      </c>
      <c r="B77" s="173" t="s">
        <v>9</v>
      </c>
      <c r="C77" s="19" t="s">
        <v>26</v>
      </c>
      <c r="D77" s="240">
        <v>0</v>
      </c>
      <c r="E77" s="199"/>
      <c r="F77" s="199"/>
      <c r="G77" s="199"/>
      <c r="H77" s="199"/>
      <c r="I77" s="199"/>
      <c r="J77" s="199"/>
      <c r="K77" s="199"/>
      <c r="L77" s="200"/>
      <c r="M77"/>
      <c r="N77"/>
    </row>
    <row r="78" spans="1:14" ht="12.75">
      <c r="A78" s="173" t="s">
        <v>65</v>
      </c>
      <c r="B78" s="173" t="s">
        <v>10</v>
      </c>
      <c r="C78" s="19" t="s">
        <v>26</v>
      </c>
      <c r="D78" s="240">
        <v>0</v>
      </c>
      <c r="E78" s="199"/>
      <c r="F78" s="199"/>
      <c r="G78" s="199"/>
      <c r="H78" s="199"/>
      <c r="I78" s="199"/>
      <c r="J78" s="199"/>
      <c r="K78" s="199"/>
      <c r="L78" s="200"/>
      <c r="M78"/>
      <c r="N78"/>
    </row>
    <row r="79" spans="1:14" ht="12.75">
      <c r="A79" s="173" t="s">
        <v>65</v>
      </c>
      <c r="B79" s="173" t="s">
        <v>11</v>
      </c>
      <c r="C79" s="19" t="s">
        <v>26</v>
      </c>
      <c r="D79" s="240">
        <v>0</v>
      </c>
      <c r="E79" s="199"/>
      <c r="F79" s="199"/>
      <c r="G79" s="199"/>
      <c r="H79" s="199"/>
      <c r="I79" s="199"/>
      <c r="J79" s="199"/>
      <c r="K79" s="199"/>
      <c r="L79" s="200"/>
      <c r="M79"/>
      <c r="N79"/>
    </row>
    <row r="80" spans="1:14" ht="13.5" thickBot="1">
      <c r="A80" s="174" t="s">
        <v>65</v>
      </c>
      <c r="B80" s="201" t="s">
        <v>12</v>
      </c>
      <c r="C80" s="20" t="s">
        <v>26</v>
      </c>
      <c r="D80" s="241">
        <v>0</v>
      </c>
      <c r="E80" s="199"/>
      <c r="F80" s="199"/>
      <c r="G80" s="199"/>
      <c r="H80" s="199"/>
      <c r="I80" s="199"/>
      <c r="J80" s="199"/>
      <c r="K80" s="199"/>
      <c r="L80" s="200"/>
      <c r="M80"/>
      <c r="N80"/>
    </row>
    <row r="81" spans="1:14" ht="12.75">
      <c r="A81"/>
      <c r="B81"/>
      <c r="C81"/>
      <c r="D81" s="240">
        <v>0</v>
      </c>
      <c r="E81" s="199"/>
      <c r="F81" s="199"/>
      <c r="G81"/>
      <c r="H81"/>
      <c r="I81"/>
      <c r="J81"/>
      <c r="K81"/>
      <c r="L81"/>
      <c r="M81"/>
      <c r="N81"/>
    </row>
    <row r="82" spans="1:14" ht="13.5" thickBot="1">
      <c r="A82"/>
      <c r="B82"/>
      <c r="C82"/>
      <c r="D82" s="242">
        <v>0</v>
      </c>
      <c r="E82" s="252"/>
      <c r="F82" s="252"/>
      <c r="G82"/>
      <c r="H82"/>
      <c r="I82"/>
      <c r="J82"/>
      <c r="K82"/>
      <c r="L82"/>
      <c r="M82"/>
      <c r="N82"/>
    </row>
    <row r="83" spans="1:14" ht="12.75">
      <c r="A83" s="78" t="s">
        <v>66</v>
      </c>
      <c r="B83" s="78" t="s">
        <v>66</v>
      </c>
      <c r="C83" s="220" t="s">
        <v>26</v>
      </c>
      <c r="D83" s="240">
        <v>0</v>
      </c>
      <c r="E83" s="221"/>
      <c r="F83" s="221"/>
      <c r="G83" s="221"/>
      <c r="H83" s="221"/>
      <c r="I83" s="221"/>
      <c r="J83" s="221"/>
      <c r="K83" s="221"/>
      <c r="L83" s="222"/>
      <c r="M83"/>
      <c r="N83"/>
    </row>
    <row r="84" spans="1:14" ht="13.5" thickBot="1">
      <c r="A84" s="80" t="s">
        <v>67</v>
      </c>
      <c r="B84" s="80" t="s">
        <v>68</v>
      </c>
      <c r="C84" s="20" t="s">
        <v>26</v>
      </c>
      <c r="D84" s="242">
        <v>0</v>
      </c>
      <c r="E84" s="223"/>
      <c r="F84" s="223"/>
      <c r="G84" s="223"/>
      <c r="H84" s="223"/>
      <c r="I84" s="223"/>
      <c r="J84" s="223"/>
      <c r="K84" s="223"/>
      <c r="L84" s="224"/>
      <c r="M84"/>
      <c r="N84"/>
    </row>
    <row r="85" spans="1:14" ht="12.75">
      <c r="M85"/>
      <c r="N85"/>
    </row>
    <row r="86" spans="1:14" ht="12.75">
      <c r="M86"/>
      <c r="N86"/>
    </row>
    <row r="87" spans="1:14" ht="12.75">
      <c r="M87"/>
      <c r="N87"/>
    </row>
    <row r="88" spans="1:14" ht="12.75">
      <c r="M88"/>
      <c r="N88"/>
    </row>
    <row r="89" spans="1:14" ht="12.75">
      <c r="M89"/>
      <c r="N89"/>
    </row>
    <row r="90" spans="1:14" ht="12.75">
      <c r="M90"/>
      <c r="N90"/>
    </row>
    <row r="91" spans="1:14" ht="12.75">
      <c r="M91"/>
      <c r="N91"/>
    </row>
    <row r="92" spans="1:14" ht="12.75">
      <c r="M92"/>
      <c r="N92"/>
    </row>
    <row r="93" spans="1:14" ht="12.75">
      <c r="M93"/>
      <c r="N93"/>
    </row>
    <row r="94" spans="1:14" ht="12.75">
      <c r="M94"/>
      <c r="N94"/>
    </row>
    <row r="95" spans="1:14" ht="12.75">
      <c r="D95" s="2"/>
      <c r="M95"/>
      <c r="N95"/>
    </row>
    <row r="96" spans="1:14" ht="12.75">
      <c r="D96" s="2"/>
      <c r="M96"/>
      <c r="N96"/>
    </row>
    <row r="97" spans="4:14" ht="12.75">
      <c r="D97" s="2"/>
      <c r="M97"/>
      <c r="N97"/>
    </row>
    <row r="98" spans="4:14" ht="12.75">
      <c r="D98" s="2"/>
      <c r="M98"/>
      <c r="N98"/>
    </row>
    <row r="99" spans="4:14" ht="12.75">
      <c r="D99" s="2"/>
      <c r="M99"/>
      <c r="N99"/>
    </row>
    <row r="100" spans="4:14" ht="12.75">
      <c r="D100" s="2"/>
      <c r="M100"/>
      <c r="N100"/>
    </row>
    <row r="101" spans="4:14" ht="12.75">
      <c r="D101" s="2"/>
      <c r="M101"/>
      <c r="N101"/>
    </row>
    <row r="102" spans="4:14" ht="12.75">
      <c r="D102" s="2"/>
      <c r="M102"/>
      <c r="N102"/>
    </row>
    <row r="103" spans="4:14" ht="12.75">
      <c r="D103" s="2"/>
      <c r="M103"/>
      <c r="N103"/>
    </row>
    <row r="104" spans="4:14" ht="12.75">
      <c r="D104" s="2"/>
      <c r="M104"/>
      <c r="N104"/>
    </row>
    <row r="105" spans="4:14" ht="12.75">
      <c r="M105"/>
      <c r="N105"/>
    </row>
    <row r="106" spans="4:14" ht="12.75">
      <c r="M106"/>
      <c r="N106"/>
    </row>
    <row r="107" spans="4:14" ht="12.75">
      <c r="M107"/>
      <c r="N107"/>
    </row>
    <row r="108" spans="4:14" ht="12.75">
      <c r="M108"/>
      <c r="N108"/>
    </row>
    <row r="109" spans="4:14" ht="12.75">
      <c r="M109"/>
      <c r="N109"/>
    </row>
    <row r="110" spans="4:14" ht="12.75">
      <c r="M110"/>
      <c r="N110"/>
    </row>
    <row r="111" spans="4:14" ht="12.75">
      <c r="M111"/>
      <c r="N111"/>
    </row>
    <row r="112" spans="4:14" ht="12.75">
      <c r="M112"/>
      <c r="N112"/>
    </row>
    <row r="113" spans="13:14" ht="12.75">
      <c r="M113"/>
      <c r="N113"/>
    </row>
    <row r="114" spans="13:14" ht="12.75">
      <c r="M114"/>
      <c r="N114"/>
    </row>
    <row r="115" spans="13:14" ht="12.75">
      <c r="M115"/>
      <c r="N115"/>
    </row>
    <row r="116" spans="13:14" ht="12.75">
      <c r="M116"/>
      <c r="N116"/>
    </row>
    <row r="117" spans="13:14" ht="12.75">
      <c r="M117"/>
      <c r="N117"/>
    </row>
    <row r="118" spans="13:14" ht="12.75">
      <c r="M118"/>
      <c r="N118"/>
    </row>
    <row r="119" spans="13:14" ht="12.75">
      <c r="M119"/>
      <c r="N119"/>
    </row>
    <row r="120" spans="13:14" ht="12.75">
      <c r="M120"/>
      <c r="N120"/>
    </row>
    <row r="121" spans="13:14" ht="12.75">
      <c r="M121"/>
      <c r="N121"/>
    </row>
    <row r="122" spans="13:14" ht="12.75">
      <c r="M122"/>
      <c r="N122"/>
    </row>
    <row r="123" spans="13:14" ht="12.75">
      <c r="M123"/>
      <c r="N123"/>
    </row>
    <row r="124" spans="13:14" ht="12.75">
      <c r="M124"/>
      <c r="N124"/>
    </row>
    <row r="125" spans="13:14" ht="12.75">
      <c r="M125"/>
      <c r="N125"/>
    </row>
    <row r="126" spans="13:14" ht="12.75">
      <c r="M126"/>
      <c r="N126"/>
    </row>
    <row r="127" spans="13:14" ht="12.75">
      <c r="M127"/>
      <c r="N127"/>
    </row>
    <row r="128" spans="13:14" ht="12.75">
      <c r="M128"/>
      <c r="N128"/>
    </row>
    <row r="129" spans="13:14" ht="12.75">
      <c r="M129"/>
      <c r="N129"/>
    </row>
    <row r="130" spans="13:14" ht="12.75">
      <c r="M130"/>
      <c r="N130"/>
    </row>
    <row r="131" spans="13:14" ht="12.75">
      <c r="M131"/>
      <c r="N131"/>
    </row>
    <row r="132" spans="13:14" ht="12.75">
      <c r="M132"/>
      <c r="N132"/>
    </row>
    <row r="133" spans="13:14" ht="12.75">
      <c r="M133"/>
      <c r="N133"/>
    </row>
    <row r="134" spans="13:14" ht="12.75">
      <c r="M134"/>
      <c r="N134"/>
    </row>
    <row r="135" spans="13:14" ht="12.75">
      <c r="M135"/>
      <c r="N135"/>
    </row>
    <row r="136" spans="13:14" ht="12.75">
      <c r="M136"/>
      <c r="N136"/>
    </row>
    <row r="137" spans="13:14" ht="12.75">
      <c r="M137"/>
      <c r="N137"/>
    </row>
    <row r="138" spans="13:14" ht="12.75">
      <c r="M138"/>
      <c r="N138"/>
    </row>
    <row r="139" spans="13:14" ht="12.75">
      <c r="M139"/>
      <c r="N139"/>
    </row>
    <row r="140" spans="13:14" ht="12.75">
      <c r="M140"/>
      <c r="N140"/>
    </row>
    <row r="141" spans="13:14" ht="12.75">
      <c r="M141"/>
      <c r="N141"/>
    </row>
    <row r="142" spans="13:14" ht="12.75">
      <c r="M142"/>
      <c r="N142"/>
    </row>
    <row r="143" spans="13:14" ht="12.75">
      <c r="M143"/>
      <c r="N143"/>
    </row>
    <row r="144" spans="13:14" ht="12.75">
      <c r="M144"/>
      <c r="N144"/>
    </row>
    <row r="145" spans="13:14" ht="12.75">
      <c r="M145"/>
      <c r="N145"/>
    </row>
    <row r="146" spans="13:14" ht="12.75">
      <c r="M146"/>
      <c r="N146"/>
    </row>
    <row r="147" spans="13:14" ht="12.75">
      <c r="M147"/>
      <c r="N147"/>
    </row>
    <row r="148" spans="13:14" ht="12.75">
      <c r="M148"/>
      <c r="N148"/>
    </row>
    <row r="149" spans="13:14" ht="12.75">
      <c r="M149"/>
      <c r="N149"/>
    </row>
    <row r="150" spans="13:14" ht="12.75">
      <c r="M150"/>
      <c r="N150"/>
    </row>
    <row r="151" spans="13:14" ht="12.75">
      <c r="M151"/>
      <c r="N151"/>
    </row>
    <row r="152" spans="13:14" ht="12.75">
      <c r="M152"/>
      <c r="N152"/>
    </row>
    <row r="153" spans="13:14" ht="12.75">
      <c r="M153"/>
      <c r="N153"/>
    </row>
    <row r="154" spans="13:14" ht="12.75">
      <c r="M154"/>
      <c r="N154"/>
    </row>
    <row r="155" spans="13:14" ht="12.75">
      <c r="M155"/>
      <c r="N155"/>
    </row>
    <row r="156" spans="13:14" ht="12.75">
      <c r="M156"/>
      <c r="N156"/>
    </row>
    <row r="157" spans="13:14" ht="12.75">
      <c r="M157"/>
      <c r="N157"/>
    </row>
    <row r="158" spans="13:14" ht="12.75">
      <c r="M158"/>
      <c r="N158"/>
    </row>
    <row r="159" spans="13:14" ht="12.75">
      <c r="M159"/>
      <c r="N159"/>
    </row>
    <row r="160" spans="13:14" ht="12.75">
      <c r="M160"/>
      <c r="N160"/>
    </row>
    <row r="161" spans="13:14" ht="12.75">
      <c r="M161"/>
      <c r="N161"/>
    </row>
    <row r="162" spans="13:14" ht="12.75">
      <c r="M162"/>
      <c r="N162"/>
    </row>
    <row r="163" spans="13:14" ht="12.75">
      <c r="M163"/>
      <c r="N163"/>
    </row>
    <row r="164" spans="13:14" ht="12.75">
      <c r="M164"/>
      <c r="N164"/>
    </row>
    <row r="165" spans="13:14" ht="12.75">
      <c r="M165"/>
      <c r="N165"/>
    </row>
    <row r="166" spans="13:14" ht="12.75">
      <c r="M166"/>
      <c r="N166"/>
    </row>
    <row r="167" spans="13:14" ht="12.75">
      <c r="M167"/>
      <c r="N167"/>
    </row>
    <row r="168" spans="13:14" ht="12.75">
      <c r="M168"/>
      <c r="N168"/>
    </row>
    <row r="169" spans="13:14" ht="12.75">
      <c r="M169"/>
      <c r="N169"/>
    </row>
    <row r="170" spans="13:14" ht="12.75">
      <c r="M170"/>
      <c r="N170"/>
    </row>
  </sheetData>
  <phoneticPr fontId="22" type="noConversion"/>
  <pageMargins left="0.75" right="0.75" top="0.51" bottom="0.47" header="0.5" footer="0.5"/>
  <pageSetup paperSize="8" scale="5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4"/>
  <sheetViews>
    <sheetView topLeftCell="E1" zoomScale="85" zoomScaleNormal="85" workbookViewId="0">
      <selection activeCell="AC1" sqref="AC1"/>
    </sheetView>
  </sheetViews>
  <sheetFormatPr defaultRowHeight="12.75" outlineLevelCol="1"/>
  <cols>
    <col min="1" max="1" width="15.85546875" style="151" customWidth="1"/>
    <col min="2" max="2" width="5.42578125" style="151" customWidth="1"/>
    <col min="3" max="3" width="10" style="151" customWidth="1"/>
    <col min="4" max="4" width="6.7109375" style="151" bestFit="1" customWidth="1"/>
    <col min="5" max="6" width="8.28515625" style="151" bestFit="1" customWidth="1"/>
    <col min="7" max="7" width="9.28515625" style="151" bestFit="1" customWidth="1"/>
    <col min="8" max="8" width="10.28515625" style="151" bestFit="1" customWidth="1"/>
    <col min="9" max="10" width="9.28515625" style="151" bestFit="1" customWidth="1"/>
    <col min="11" max="18" width="12.140625" style="151" customWidth="1" outlineLevel="1"/>
    <col min="19" max="19" width="12.140625" style="151" customWidth="1"/>
    <col min="20" max="27" width="12.140625" style="151" customWidth="1" outlineLevel="1"/>
    <col min="28" max="28" width="18.7109375" style="151" customWidth="1"/>
    <col min="29" max="29" width="22.7109375" style="151" bestFit="1" customWidth="1"/>
    <col min="30" max="16384" width="9.140625" style="151"/>
  </cols>
  <sheetData>
    <row r="1" spans="1:33">
      <c r="A1" s="146" t="s">
        <v>69</v>
      </c>
      <c r="B1" s="147"/>
      <c r="C1" s="148" t="s">
        <v>6</v>
      </c>
      <c r="D1" s="148"/>
      <c r="E1" s="149"/>
      <c r="F1" s="147"/>
      <c r="G1" s="147"/>
      <c r="H1" s="147"/>
      <c r="I1" s="147"/>
      <c r="J1" s="147"/>
      <c r="K1" s="150" t="s">
        <v>70</v>
      </c>
      <c r="L1" s="150" t="s">
        <v>71</v>
      </c>
      <c r="M1" s="150" t="s">
        <v>72</v>
      </c>
      <c r="N1" s="150" t="s">
        <v>73</v>
      </c>
      <c r="O1" s="150" t="s">
        <v>74</v>
      </c>
      <c r="P1" s="150" t="s">
        <v>75</v>
      </c>
      <c r="Q1" s="150" t="s">
        <v>76</v>
      </c>
      <c r="R1" s="150" t="s">
        <v>77</v>
      </c>
      <c r="S1" s="150" t="s">
        <v>78</v>
      </c>
      <c r="T1" s="150" t="s">
        <v>70</v>
      </c>
      <c r="U1" s="150" t="s">
        <v>71</v>
      </c>
      <c r="V1" s="150" t="s">
        <v>72</v>
      </c>
      <c r="W1" s="150" t="s">
        <v>73</v>
      </c>
      <c r="X1" s="150" t="s">
        <v>74</v>
      </c>
      <c r="Y1" s="150" t="s">
        <v>75</v>
      </c>
      <c r="Z1" s="150" t="s">
        <v>76</v>
      </c>
      <c r="AA1" s="150" t="s">
        <v>77</v>
      </c>
      <c r="AB1" s="150" t="s">
        <v>78</v>
      </c>
    </row>
    <row r="2" spans="1:33" ht="25.5">
      <c r="A2" s="328" t="s">
        <v>79</v>
      </c>
      <c r="B2" s="152" t="s">
        <v>80</v>
      </c>
      <c r="C2" s="153">
        <v>0</v>
      </c>
      <c r="D2" s="153">
        <v>121</v>
      </c>
      <c r="E2" s="153">
        <v>481</v>
      </c>
      <c r="F2" s="153">
        <v>1561</v>
      </c>
      <c r="G2" s="153">
        <v>5001</v>
      </c>
      <c r="H2" s="153">
        <v>80001</v>
      </c>
      <c r="I2" s="153">
        <v>200000</v>
      </c>
      <c r="J2" s="153">
        <v>1000000</v>
      </c>
      <c r="K2" s="152" t="s">
        <v>81</v>
      </c>
      <c r="L2" s="152" t="s">
        <v>81</v>
      </c>
      <c r="M2" s="152" t="s">
        <v>81</v>
      </c>
      <c r="N2" s="152" t="s">
        <v>81</v>
      </c>
      <c r="O2" s="152" t="s">
        <v>81</v>
      </c>
      <c r="P2" s="152" t="s">
        <v>81</v>
      </c>
      <c r="Q2" s="152" t="s">
        <v>81</v>
      </c>
      <c r="R2" s="152" t="s">
        <v>81</v>
      </c>
      <c r="S2" s="152" t="s">
        <v>81</v>
      </c>
      <c r="T2" s="152" t="s">
        <v>82</v>
      </c>
      <c r="U2" s="152" t="s">
        <v>82</v>
      </c>
      <c r="V2" s="152" t="s">
        <v>82</v>
      </c>
      <c r="W2" s="152" t="s">
        <v>82</v>
      </c>
      <c r="X2" s="152" t="s">
        <v>82</v>
      </c>
      <c r="Y2" s="152" t="s">
        <v>82</v>
      </c>
      <c r="Z2" s="152" t="s">
        <v>82</v>
      </c>
      <c r="AA2" s="152" t="s">
        <v>82</v>
      </c>
      <c r="AB2" s="152" t="s">
        <v>82</v>
      </c>
    </row>
    <row r="3" spans="1:33" ht="42.75" customHeight="1">
      <c r="A3" s="329"/>
      <c r="B3" s="154"/>
      <c r="C3" s="155">
        <v>120</v>
      </c>
      <c r="D3" s="155">
        <v>480</v>
      </c>
      <c r="E3" s="155">
        <v>1560</v>
      </c>
      <c r="F3" s="155">
        <v>5000</v>
      </c>
      <c r="G3" s="155">
        <v>80000</v>
      </c>
      <c r="H3" s="155">
        <v>200000</v>
      </c>
      <c r="I3" s="155">
        <v>1000000</v>
      </c>
      <c r="J3" s="155" t="s">
        <v>83</v>
      </c>
      <c r="K3" s="156" t="s">
        <v>84</v>
      </c>
      <c r="L3" s="156" t="s">
        <v>84</v>
      </c>
      <c r="M3" s="156" t="s">
        <v>84</v>
      </c>
      <c r="N3" s="156" t="s">
        <v>84</v>
      </c>
      <c r="O3" s="156" t="s">
        <v>84</v>
      </c>
      <c r="P3" s="156" t="s">
        <v>84</v>
      </c>
      <c r="Q3" s="156" t="s">
        <v>84</v>
      </c>
      <c r="R3" s="156" t="s">
        <v>84</v>
      </c>
      <c r="S3" s="156" t="s">
        <v>84</v>
      </c>
      <c r="T3" s="156" t="s">
        <v>85</v>
      </c>
      <c r="U3" s="156" t="s">
        <v>85</v>
      </c>
      <c r="V3" s="156" t="s">
        <v>85</v>
      </c>
      <c r="W3" s="156" t="s">
        <v>85</v>
      </c>
      <c r="X3" s="156" t="s">
        <v>85</v>
      </c>
      <c r="Y3" s="156" t="s">
        <v>85</v>
      </c>
      <c r="Z3" s="156" t="s">
        <v>85</v>
      </c>
      <c r="AA3" s="156" t="s">
        <v>85</v>
      </c>
      <c r="AB3" s="156" t="s">
        <v>85</v>
      </c>
    </row>
    <row r="4" spans="1:33">
      <c r="A4" s="157">
        <v>480</v>
      </c>
      <c r="B4" s="158">
        <f t="shared" ref="B4:B9" si="0">IF($A4&lt;=C$3,1,IF($A4&lt;=D$3,2,IF($A4&lt;=E$3,3,IF($A4&lt;=F$3,4,IF($A4&lt;=G$3,5,IF($A4&lt;=H$3,6,IF($A4&lt;=I$3,7,8)))))))</f>
        <v>2</v>
      </c>
      <c r="C4" s="159">
        <f t="shared" ref="C4:C9" si="1">+IF(B4=1,A4,$C$3)</f>
        <v>120</v>
      </c>
      <c r="D4" s="159">
        <f t="shared" ref="D4:D9" si="2">+IF(B4=1,0,IF(B4=2,A4-$C$3,$D$3-$C$3))</f>
        <v>360</v>
      </c>
      <c r="E4" s="159">
        <f t="shared" ref="E4:E9" si="3">+IF(OR(B4=1,B4=2),0,IF(B4=3,A4-$D$3,$E$3-$D$3))</f>
        <v>0</v>
      </c>
      <c r="F4" s="159">
        <f t="shared" ref="F4:F9" si="4">+IF(OR(B4=1,B4=2,B4=3),0,IF(B4=4,A4-$E$3,$F$3-$E$3))</f>
        <v>0</v>
      </c>
      <c r="G4" s="159">
        <f t="shared" ref="G4:G9" si="5">+IF(OR(B4=1,B4=2,B4=3,B4=4),0,IF(B4=5,A4-$F$3,$G$3-$F$3))</f>
        <v>0</v>
      </c>
      <c r="H4" s="159">
        <f t="shared" ref="H4:H9" si="6">+IF(OR(B4=1,B4=2,B4=3,B4=4,B4=5),0,IF(B4=6,A4-$G$3,$H$3-$G$3))</f>
        <v>0</v>
      </c>
      <c r="I4" s="159">
        <f t="shared" ref="I4:I9" si="7">+IF(OR(B4=1,B4=2,B4=3,B4=4,B4=5,B4=6),0,IF(B4=7,A4-$H$3,$I$3-$H$3))</f>
        <v>0</v>
      </c>
      <c r="J4" s="159">
        <f t="shared" ref="J4:J9" si="8">+IF(OR(B4=1,B4=2,B4=3,B4=4,B4=5,B4=6,B4=7),0,IF(B4=8,A4-$H$3,"ERRORE"))</f>
        <v>0</v>
      </c>
      <c r="K4" s="160">
        <f>+(VLOOKUP($C$1,Parametri!$B$26:$K$31,Parametri!D$24,FALSE)+Parametri!D$40+Parametri!D$32)/100+ROUND(VLOOKUP($C$1,Parametri!$B$7:$D$12,3,FALSE)*Parametri!$C$3,6)</f>
        <v>0.11202000000000001</v>
      </c>
      <c r="L4" s="160">
        <f>+(VLOOKUP($C$1,Parametri!$B$26:$K$31,Parametri!E$24,FALSE)+Parametri!E$40+Parametri!E$32)/100+ROUND(VLOOKUP($C$1,Parametri!$B$7:$D$12,3,FALSE)*Parametri!$C$3,6)</f>
        <v>0.219335</v>
      </c>
      <c r="M4" s="160">
        <f>+(VLOOKUP($C$1,Parametri!$B$26:$K$31,Parametri!F$24,FALSE)+Parametri!F$40+Parametri!F$32)/100+ROUND(VLOOKUP($C$1,Parametri!$B$7:$D$12,3,FALSE)*Parametri!$C$3,6)</f>
        <v>0.21024300000000001</v>
      </c>
      <c r="N4" s="160">
        <f>+(VLOOKUP($C$1,Parametri!$B$26:$K$31,Parametri!G$24,FALSE)+Parametri!G$40+Parametri!G$32)/100+ROUND(VLOOKUP($C$1,Parametri!$B$7:$D$12,3,FALSE)*Parametri!$C$3,6)</f>
        <v>0.21065600000000001</v>
      </c>
      <c r="O4" s="160">
        <f>+(VLOOKUP($C$1,Parametri!$B$26:$K$31,Parametri!H$24,FALSE)+Parametri!H$40+Parametri!H$32)/100+ROUND(VLOOKUP($C$1,Parametri!$B$7:$D$12,3,FALSE)*Parametri!$C$3,6)</f>
        <v>0.185721</v>
      </c>
      <c r="P4" s="160">
        <f>+(VLOOKUP($C$1,Parametri!$B$26:$K$31,Parametri!I$24,FALSE)+Parametri!I$40+Parametri!I$32)/100+ROUND(VLOOKUP($C$1,Parametri!$B$7:$D$12,3,FALSE)*Parametri!$C$3,6)</f>
        <v>0.14935300000000001</v>
      </c>
      <c r="Q4" s="160">
        <f>+(VLOOKUP($C$1,Parametri!$B$26:$K$31,Parametri!J$24,FALSE)+Parametri!J$40+Parametri!J$32)/100+ROUND(VLOOKUP($C$1,Parametri!$B$7:$D$12,3,FALSE)*Parametri!$C$3,6)</f>
        <v>0.11172899999999999</v>
      </c>
      <c r="R4" s="160">
        <f>+(VLOOKUP($C$1,Parametri!$B$26:$K$31,Parametri!K$24,FALSE)+Parametri!K$40+Parametri!K$32)/100+ROUND(VLOOKUP($C$1,Parametri!$B$7:$D$12,3,FALSE)*Parametri!$C$3,6)</f>
        <v>9.8504000000000008E-2</v>
      </c>
      <c r="S4" s="159">
        <f t="shared" ref="S4:S9" si="9">+SUMPRODUCT(K4:R4,C4:J4)</f>
        <v>92.403000000000006</v>
      </c>
      <c r="T4" s="160">
        <f>+(Parametri!D$36+Parametri!D$41+Parametri!D$33)/100</f>
        <v>3.6708999999999999E-2</v>
      </c>
      <c r="U4" s="160">
        <f>+(Parametri!E$36+Parametri!E$41+Parametri!E$33)/100</f>
        <v>8.6309000000000011E-2</v>
      </c>
      <c r="V4" s="160">
        <f>+(Parametri!F$36+Parametri!F$41+Parametri!F$33)/100</f>
        <v>6.6008999999999998E-2</v>
      </c>
      <c r="W4" s="160">
        <f>+(Parametri!G$36+Parametri!G$41+Parametri!G$33)/100</f>
        <v>6.0409000000000004E-2</v>
      </c>
      <c r="X4" s="160">
        <f>+(Parametri!H$36+Parametri!H$41+Parametri!H$33)/100</f>
        <v>5.3709000000000007E-2</v>
      </c>
      <c r="Y4" s="160">
        <f>+(Parametri!I$36+Parametri!I$41+Parametri!I$33)/100</f>
        <v>4.3809000000000008E-2</v>
      </c>
      <c r="Z4" s="160">
        <f>+(Parametri!J$36+Parametri!J$41+Parametri!J$33)/100</f>
        <v>2.2902999999999996E-2</v>
      </c>
      <c r="AA4" s="160">
        <f>+(Parametri!K$36+Parametri!K$41+Parametri!K$33)/100</f>
        <v>2.2902999999999996E-2</v>
      </c>
      <c r="AB4" s="159">
        <f t="shared" ref="AB4:AB9" si="10">+SUMPRODUCT(T4:AA4,C4:J4)</f>
        <v>35.476320000000001</v>
      </c>
      <c r="AC4" s="151" t="s">
        <v>86</v>
      </c>
    </row>
    <row r="5" spans="1:33">
      <c r="A5" s="157">
        <v>480</v>
      </c>
      <c r="B5" s="158">
        <f t="shared" si="0"/>
        <v>2</v>
      </c>
      <c r="C5" s="159">
        <f t="shared" si="1"/>
        <v>120</v>
      </c>
      <c r="D5" s="159">
        <f t="shared" si="2"/>
        <v>360</v>
      </c>
      <c r="E5" s="159">
        <f t="shared" si="3"/>
        <v>0</v>
      </c>
      <c r="F5" s="159">
        <f t="shared" si="4"/>
        <v>0</v>
      </c>
      <c r="G5" s="159">
        <f t="shared" si="5"/>
        <v>0</v>
      </c>
      <c r="H5" s="159">
        <f t="shared" si="6"/>
        <v>0</v>
      </c>
      <c r="I5" s="159">
        <f t="shared" si="7"/>
        <v>0</v>
      </c>
      <c r="J5" s="159">
        <f t="shared" si="8"/>
        <v>0</v>
      </c>
      <c r="K5" s="160">
        <f>+(VLOOKUP($C$1,Parametri!$B$26:$K$31,Parametri!D$24,FALSE)+Parametri!D$40+Parametri!D$32)/100+ROUND(VLOOKUP($C$1,Parametri!$B$7:$D$12,3,FALSE)*Parametri!$C$3,6)</f>
        <v>0.11202000000000001</v>
      </c>
      <c r="L5" s="160">
        <f>+(VLOOKUP($C$1,Parametri!$B$26:$K$31,Parametri!E$24,FALSE)+Parametri!E$40+Parametri!E$32)/100+ROUND(VLOOKUP($C$1,Parametri!$B$7:$D$12,3,FALSE)*Parametri!$C$3,6)</f>
        <v>0.219335</v>
      </c>
      <c r="M5" s="160">
        <f>+(VLOOKUP($C$1,Parametri!$B$26:$K$31,Parametri!F$24,FALSE)+Parametri!F$40+Parametri!F$32)/100+ROUND(VLOOKUP($C$1,Parametri!$B$7:$D$12,3,FALSE)*Parametri!$C$3,6)</f>
        <v>0.21024300000000001</v>
      </c>
      <c r="N5" s="160">
        <f>+(VLOOKUP($C$1,Parametri!$B$26:$K$31,Parametri!G$24,FALSE)+Parametri!G$40+Parametri!G$32)/100+ROUND(VLOOKUP($C$1,Parametri!$B$7:$D$12,3,FALSE)*Parametri!$C$3,6)</f>
        <v>0.21065600000000001</v>
      </c>
      <c r="O5" s="160">
        <f>+(VLOOKUP($C$1,Parametri!$B$26:$K$31,Parametri!H$24,FALSE)+Parametri!H$40+Parametri!H$32)/100+ROUND(VLOOKUP($C$1,Parametri!$B$7:$D$12,3,FALSE)*Parametri!$C$3,6)</f>
        <v>0.185721</v>
      </c>
      <c r="P5" s="160">
        <f>+(VLOOKUP($C$1,Parametri!$B$26:$K$31,Parametri!I$24,FALSE)+Parametri!I$40+Parametri!I$32)/100+ROUND(VLOOKUP($C$1,Parametri!$B$7:$D$12,3,FALSE)*Parametri!$C$3,6)</f>
        <v>0.14935300000000001</v>
      </c>
      <c r="Q5" s="160">
        <f>+(VLOOKUP($C$1,Parametri!$B$26:$K$31,Parametri!J$24,FALSE)+Parametri!J$40+Parametri!J$32)/100+ROUND(VLOOKUP($C$1,Parametri!$B$7:$D$12,3,FALSE)*Parametri!$C$3,6)</f>
        <v>0.11172899999999999</v>
      </c>
      <c r="R5" s="160">
        <f>+(VLOOKUP($C$1,Parametri!$B$26:$K$31,Parametri!K$24,FALSE)+Parametri!K$40+Parametri!K$32)/100+ROUND(VLOOKUP($C$1,Parametri!$B$7:$D$12,3,FALSE)*Parametri!$C$3,6)</f>
        <v>9.8504000000000008E-2</v>
      </c>
      <c r="S5" s="159">
        <f t="shared" si="9"/>
        <v>92.403000000000006</v>
      </c>
      <c r="T5" s="160">
        <f>+(Parametri!D$36+Parametri!D$41+Parametri!D$33+Parametri!D$35)/100</f>
        <v>4.0616000000000006E-2</v>
      </c>
      <c r="U5" s="160">
        <f>+(Parametri!E$36+Parametri!E$41+Parametri!E$33+Parametri!E$35)/100</f>
        <v>9.0216000000000018E-2</v>
      </c>
      <c r="V5" s="160">
        <f>+(Parametri!F$36+Parametri!F$41+Parametri!F$33+Parametri!F$35)/100</f>
        <v>6.9916000000000006E-2</v>
      </c>
      <c r="W5" s="160">
        <f>+(Parametri!G$36+Parametri!G$41+Parametri!G$33+Parametri!G$35)/100</f>
        <v>6.4315999999999998E-2</v>
      </c>
      <c r="X5" s="160">
        <f>+(Parametri!H$36+Parametri!H$41+Parametri!H$33+Parametri!H$35)/100</f>
        <v>5.7616000000000007E-2</v>
      </c>
      <c r="Y5" s="160">
        <f>+(Parametri!I$36+Parametri!I$41+Parametri!I$33+Parametri!I$35)/100</f>
        <v>4.7716000000000001E-2</v>
      </c>
      <c r="Z5" s="160">
        <f>+(Parametri!J$36+Parametri!J$41+Parametri!J$33+Parametri!J$35)/100</f>
        <v>2.4728999999999998E-2</v>
      </c>
      <c r="AA5" s="160">
        <f>+(Parametri!K$36+Parametri!K$41+Parametri!K$33+Parametri!K$35)/100</f>
        <v>2.4728999999999998E-2</v>
      </c>
      <c r="AB5" s="159">
        <f t="shared" si="10"/>
        <v>37.351680000000002</v>
      </c>
      <c r="AC5" s="161" t="s">
        <v>87</v>
      </c>
    </row>
    <row r="6" spans="1:33">
      <c r="A6" s="157">
        <v>1400</v>
      </c>
      <c r="B6" s="158">
        <f t="shared" si="0"/>
        <v>3</v>
      </c>
      <c r="C6" s="159">
        <f t="shared" si="1"/>
        <v>120</v>
      </c>
      <c r="D6" s="159">
        <f t="shared" si="2"/>
        <v>360</v>
      </c>
      <c r="E6" s="159">
        <f t="shared" si="3"/>
        <v>920</v>
      </c>
      <c r="F6" s="159">
        <f t="shared" si="4"/>
        <v>0</v>
      </c>
      <c r="G6" s="159">
        <f t="shared" si="5"/>
        <v>0</v>
      </c>
      <c r="H6" s="159">
        <f t="shared" si="6"/>
        <v>0</v>
      </c>
      <c r="I6" s="159">
        <f t="shared" si="7"/>
        <v>0</v>
      </c>
      <c r="J6" s="159">
        <f t="shared" si="8"/>
        <v>0</v>
      </c>
      <c r="K6" s="160">
        <f>+(VLOOKUP($C$1,Parametri!$B$26:$K$31,Parametri!D$24,FALSE)+Parametri!D$40+Parametri!D$32)/100+ROUND(VLOOKUP($C$1,Parametri!$B$7:$D$12,3,FALSE)*Parametri!$C$3,6)</f>
        <v>0.11202000000000001</v>
      </c>
      <c r="L6" s="160">
        <f>+(VLOOKUP($C$1,Parametri!$B$26:$K$31,Parametri!E$24,FALSE)+Parametri!E$40+Parametri!E$32)/100+ROUND(VLOOKUP($C$1,Parametri!$B$7:$D$12,3,FALSE)*Parametri!$C$3,6)</f>
        <v>0.219335</v>
      </c>
      <c r="M6" s="160">
        <f>+(VLOOKUP($C$1,Parametri!$B$26:$K$31,Parametri!F$24,FALSE)+Parametri!F$40+Parametri!F$32)/100+ROUND(VLOOKUP($C$1,Parametri!$B$7:$D$12,3,FALSE)*Parametri!$C$3,6)</f>
        <v>0.21024300000000001</v>
      </c>
      <c r="N6" s="160">
        <f>+(VLOOKUP($C$1,Parametri!$B$26:$K$31,Parametri!G$24,FALSE)+Parametri!G$40+Parametri!G$32)/100+ROUND(VLOOKUP($C$1,Parametri!$B$7:$D$12,3,FALSE)*Parametri!$C$3,6)</f>
        <v>0.21065600000000001</v>
      </c>
      <c r="O6" s="160">
        <f>+(VLOOKUP($C$1,Parametri!$B$26:$K$31,Parametri!H$24,FALSE)+Parametri!H$40+Parametri!H$32)/100+ROUND(VLOOKUP($C$1,Parametri!$B$7:$D$12,3,FALSE)*Parametri!$C$3,6)</f>
        <v>0.185721</v>
      </c>
      <c r="P6" s="160">
        <f>+(VLOOKUP($C$1,Parametri!$B$26:$K$31,Parametri!I$24,FALSE)+Parametri!I$40+Parametri!I$32)/100+ROUND(VLOOKUP($C$1,Parametri!$B$7:$D$12,3,FALSE)*Parametri!$C$3,6)</f>
        <v>0.14935300000000001</v>
      </c>
      <c r="Q6" s="160">
        <f>+(VLOOKUP($C$1,Parametri!$B$26:$K$31,Parametri!J$24,FALSE)+Parametri!J$40+Parametri!J$32)/100+ROUND(VLOOKUP($C$1,Parametri!$B$7:$D$12,3,FALSE)*Parametri!$C$3,6)</f>
        <v>0.11172899999999999</v>
      </c>
      <c r="R6" s="160">
        <f>+(VLOOKUP($C$1,Parametri!$B$26:$K$31,Parametri!K$24,FALSE)+Parametri!K$40+Parametri!K$32)/100+ROUND(VLOOKUP($C$1,Parametri!$B$7:$D$12,3,FALSE)*Parametri!$C$3,6)</f>
        <v>9.8504000000000008E-2</v>
      </c>
      <c r="S6" s="159">
        <f t="shared" si="9"/>
        <v>285.82656000000003</v>
      </c>
      <c r="T6" s="160">
        <f>+(Parametri!D$36+Parametri!D$41+Parametri!D$33)/100</f>
        <v>3.6708999999999999E-2</v>
      </c>
      <c r="U6" s="160">
        <f>+(Parametri!E$36+Parametri!E$41+Parametri!E$33)/100</f>
        <v>8.6309000000000011E-2</v>
      </c>
      <c r="V6" s="160">
        <f>+(Parametri!F$36+Parametri!F$41+Parametri!F$33)/100</f>
        <v>6.6008999999999998E-2</v>
      </c>
      <c r="W6" s="160">
        <f>+(Parametri!G$36+Parametri!G$41+Parametri!G$33)/100</f>
        <v>6.0409000000000004E-2</v>
      </c>
      <c r="X6" s="160">
        <f>+(Parametri!H$36+Parametri!H$41+Parametri!H$33)/100</f>
        <v>5.3709000000000007E-2</v>
      </c>
      <c r="Y6" s="160">
        <f>+(Parametri!I$36+Parametri!I$41+Parametri!I$33)/100</f>
        <v>4.3809000000000008E-2</v>
      </c>
      <c r="Z6" s="160">
        <f>+(Parametri!J$36+Parametri!J$41+Parametri!J$33)/100</f>
        <v>2.2902999999999996E-2</v>
      </c>
      <c r="AA6" s="160">
        <f>+(Parametri!K$36+Parametri!K$41+Parametri!K$33)/100</f>
        <v>2.2902999999999996E-2</v>
      </c>
      <c r="AB6" s="159">
        <f t="shared" si="10"/>
        <v>96.204599999999999</v>
      </c>
      <c r="AC6" s="151" t="s">
        <v>86</v>
      </c>
      <c r="AG6" s="162"/>
    </row>
    <row r="7" spans="1:33">
      <c r="A7" s="157">
        <v>3000</v>
      </c>
      <c r="B7" s="158">
        <f t="shared" si="0"/>
        <v>4</v>
      </c>
      <c r="C7" s="159">
        <f t="shared" si="1"/>
        <v>120</v>
      </c>
      <c r="D7" s="159">
        <f t="shared" si="2"/>
        <v>360</v>
      </c>
      <c r="E7" s="159">
        <f t="shared" si="3"/>
        <v>1080</v>
      </c>
      <c r="F7" s="159">
        <f t="shared" si="4"/>
        <v>1440</v>
      </c>
      <c r="G7" s="159">
        <f t="shared" si="5"/>
        <v>0</v>
      </c>
      <c r="H7" s="159">
        <f t="shared" si="6"/>
        <v>0</v>
      </c>
      <c r="I7" s="159">
        <f t="shared" si="7"/>
        <v>0</v>
      </c>
      <c r="J7" s="159">
        <f t="shared" si="8"/>
        <v>0</v>
      </c>
      <c r="K7" s="160">
        <f>+(VLOOKUP($C$1,Parametri!$B$26:$K$31,Parametri!D$24,FALSE)+Parametri!D$40+Parametri!D$32)/100+ROUND(VLOOKUP($C$1,Parametri!$B$7:$D$12,3,FALSE)*Parametri!$C$3,6)</f>
        <v>0.11202000000000001</v>
      </c>
      <c r="L7" s="160">
        <f>+(VLOOKUP($C$1,Parametri!$B$26:$K$31,Parametri!E$24,FALSE)+Parametri!E$40+Parametri!E$32)/100+ROUND(VLOOKUP($C$1,Parametri!$B$7:$D$12,3,FALSE)*Parametri!$C$3,6)</f>
        <v>0.219335</v>
      </c>
      <c r="M7" s="160">
        <f>+(VLOOKUP($C$1,Parametri!$B$26:$K$31,Parametri!F$24,FALSE)+Parametri!F$40+Parametri!F$32)/100+ROUND(VLOOKUP($C$1,Parametri!$B$7:$D$12,3,FALSE)*Parametri!$C$3,6)</f>
        <v>0.21024300000000001</v>
      </c>
      <c r="N7" s="160">
        <f>+(VLOOKUP($C$1,Parametri!$B$26:$K$31,Parametri!G$24,FALSE)+Parametri!G$40+Parametri!G$32)/100+ROUND(VLOOKUP($C$1,Parametri!$B$7:$D$12,3,FALSE)*Parametri!$C$3,6)</f>
        <v>0.21065600000000001</v>
      </c>
      <c r="O7" s="160">
        <f>+(VLOOKUP($C$1,Parametri!$B$26:$K$31,Parametri!H$24,FALSE)+Parametri!H$40+Parametri!H$32)/100+ROUND(VLOOKUP($C$1,Parametri!$B$7:$D$12,3,FALSE)*Parametri!$C$3,6)</f>
        <v>0.185721</v>
      </c>
      <c r="P7" s="160">
        <f>+(VLOOKUP($C$1,Parametri!$B$26:$K$31,Parametri!I$24,FALSE)+Parametri!I$40+Parametri!I$32)/100+ROUND(VLOOKUP($C$1,Parametri!$B$7:$D$12,3,FALSE)*Parametri!$C$3,6)</f>
        <v>0.14935300000000001</v>
      </c>
      <c r="Q7" s="160">
        <f>+(VLOOKUP($C$1,Parametri!$B$26:$K$31,Parametri!J$24,FALSE)+Parametri!J$40+Parametri!J$32)/100+ROUND(VLOOKUP($C$1,Parametri!$B$7:$D$12,3,FALSE)*Parametri!$C$3,6)</f>
        <v>0.11172899999999999</v>
      </c>
      <c r="R7" s="160">
        <f>+(VLOOKUP($C$1,Parametri!$B$26:$K$31,Parametri!K$24,FALSE)+Parametri!K$40+Parametri!K$32)/100+ROUND(VLOOKUP($C$1,Parametri!$B$7:$D$12,3,FALSE)*Parametri!$C$3,6)</f>
        <v>9.8504000000000008E-2</v>
      </c>
      <c r="S7" s="159">
        <f t="shared" si="9"/>
        <v>622.81007999999997</v>
      </c>
      <c r="T7" s="160">
        <f>+(Parametri!D$36+Parametri!D$41+Parametri!D$33+Parametri!D$35)/100</f>
        <v>4.0616000000000006E-2</v>
      </c>
      <c r="U7" s="160">
        <f>+(Parametri!E$36+Parametri!E$41+Parametri!E$33+Parametri!E$35)/100</f>
        <v>9.0216000000000018E-2</v>
      </c>
      <c r="V7" s="160">
        <f>+(Parametri!F$36+Parametri!F$41+Parametri!F$33+Parametri!F$35)/100</f>
        <v>6.9916000000000006E-2</v>
      </c>
      <c r="W7" s="160">
        <f>+(Parametri!G$36+Parametri!G$41+Parametri!G$33+Parametri!G$35)/100</f>
        <v>6.4315999999999998E-2</v>
      </c>
      <c r="X7" s="160">
        <f>+(Parametri!H$36+Parametri!H$41+Parametri!H$33+Parametri!H$35)/100</f>
        <v>5.7616000000000007E-2</v>
      </c>
      <c r="Y7" s="160">
        <f>+(Parametri!I$36+Parametri!I$41+Parametri!I$33+Parametri!I$35)/100</f>
        <v>4.7716000000000001E-2</v>
      </c>
      <c r="Z7" s="160">
        <f>+(Parametri!J$36+Parametri!J$41+Parametri!J$33+Parametri!J$35)/100</f>
        <v>2.4728999999999998E-2</v>
      </c>
      <c r="AA7" s="160">
        <f>+(Parametri!K$36+Parametri!K$41+Parametri!K$33+Parametri!K$35)/100</f>
        <v>2.4728999999999998E-2</v>
      </c>
      <c r="AB7" s="159">
        <f>+SUMPRODUCT(T7:AA7,C7:J7)</f>
        <v>205.476</v>
      </c>
      <c r="AC7" s="151" t="s">
        <v>88</v>
      </c>
      <c r="AG7" s="162"/>
    </row>
    <row r="8" spans="1:33">
      <c r="A8" s="157">
        <v>15000</v>
      </c>
      <c r="B8" s="158">
        <f t="shared" si="0"/>
        <v>5</v>
      </c>
      <c r="C8" s="159">
        <f t="shared" si="1"/>
        <v>120</v>
      </c>
      <c r="D8" s="159">
        <f t="shared" si="2"/>
        <v>360</v>
      </c>
      <c r="E8" s="159">
        <f t="shared" si="3"/>
        <v>1080</v>
      </c>
      <c r="F8" s="159">
        <f t="shared" si="4"/>
        <v>3440</v>
      </c>
      <c r="G8" s="159">
        <f t="shared" si="5"/>
        <v>10000</v>
      </c>
      <c r="H8" s="159">
        <f t="shared" si="6"/>
        <v>0</v>
      </c>
      <c r="I8" s="159">
        <f t="shared" si="7"/>
        <v>0</v>
      </c>
      <c r="J8" s="159">
        <f t="shared" si="8"/>
        <v>0</v>
      </c>
      <c r="K8" s="160">
        <f>+(VLOOKUP($C$1,Parametri!$B$26:$K$31,Parametri!D$24,FALSE)+Parametri!D$40+Parametri!D$32)/100+ROUND(VLOOKUP($C$1,Parametri!$B$7:$D$12,3,FALSE)*Parametri!$C$3,6)</f>
        <v>0.11202000000000001</v>
      </c>
      <c r="L8" s="160">
        <f>+(VLOOKUP($C$1,Parametri!$B$26:$K$31,Parametri!E$24,FALSE)+Parametri!E$40+Parametri!E$32)/100+ROUND(VLOOKUP($C$1,Parametri!$B$7:$D$12,3,FALSE)*Parametri!$C$3,6)</f>
        <v>0.219335</v>
      </c>
      <c r="M8" s="160">
        <f>+(VLOOKUP($C$1,Parametri!$B$26:$K$31,Parametri!F$24,FALSE)+Parametri!F$40+Parametri!F$32)/100+ROUND(VLOOKUP($C$1,Parametri!$B$7:$D$12,3,FALSE)*Parametri!$C$3,6)</f>
        <v>0.21024300000000001</v>
      </c>
      <c r="N8" s="160">
        <f>+(VLOOKUP($C$1,Parametri!$B$26:$K$31,Parametri!G$24,FALSE)+Parametri!G$40+Parametri!G$32)/100+ROUND(VLOOKUP($C$1,Parametri!$B$7:$D$12,3,FALSE)*Parametri!$C$3,6)</f>
        <v>0.21065600000000001</v>
      </c>
      <c r="O8" s="160">
        <f>+(VLOOKUP($C$1,Parametri!$B$26:$K$31,Parametri!H$24,FALSE)+Parametri!H$40+Parametri!H$32)/100+ROUND(VLOOKUP($C$1,Parametri!$B$7:$D$12,3,FALSE)*Parametri!$C$3,6)</f>
        <v>0.185721</v>
      </c>
      <c r="P8" s="160">
        <f>+(VLOOKUP($C$1,Parametri!$B$26:$K$31,Parametri!I$24,FALSE)+Parametri!I$40+Parametri!I$32)/100+ROUND(VLOOKUP($C$1,Parametri!$B$7:$D$12,3,FALSE)*Parametri!$C$3,6)</f>
        <v>0.14935300000000001</v>
      </c>
      <c r="Q8" s="160">
        <f>+(VLOOKUP($C$1,Parametri!$B$26:$K$31,Parametri!J$24,FALSE)+Parametri!J$40+Parametri!J$32)/100+ROUND(VLOOKUP($C$1,Parametri!$B$7:$D$12,3,FALSE)*Parametri!$C$3,6)</f>
        <v>0.11172899999999999</v>
      </c>
      <c r="R8" s="160">
        <f>+(VLOOKUP($C$1,Parametri!$B$26:$K$31,Parametri!K$24,FALSE)+Parametri!K$40+Parametri!K$32)/100+ROUND(VLOOKUP($C$1,Parametri!$B$7:$D$12,3,FALSE)*Parametri!$C$3,6)</f>
        <v>9.8504000000000008E-2</v>
      </c>
      <c r="S8" s="159">
        <f t="shared" si="9"/>
        <v>2901.3320800000001</v>
      </c>
      <c r="T8" s="160">
        <f>+(Parametri!D$36+Parametri!D$41+Parametri!D$33+Parametri!D$35)/100</f>
        <v>4.0616000000000006E-2</v>
      </c>
      <c r="U8" s="160">
        <f>+(Parametri!E$36+Parametri!E$41+Parametri!E$33+Parametri!E$35)/100</f>
        <v>9.0216000000000018E-2</v>
      </c>
      <c r="V8" s="160">
        <f>+(Parametri!F$36+Parametri!F$41+Parametri!F$33+Parametri!F$35)/100</f>
        <v>6.9916000000000006E-2</v>
      </c>
      <c r="W8" s="160">
        <f>+(Parametri!G$36+Parametri!G$41+Parametri!G$33+Parametri!G$35)/100</f>
        <v>6.4315999999999998E-2</v>
      </c>
      <c r="X8" s="160">
        <f>+(Parametri!H$36+Parametri!H$41+Parametri!H$33+Parametri!H$35)/100</f>
        <v>5.7616000000000007E-2</v>
      </c>
      <c r="Y8" s="160">
        <f>+(Parametri!I$36+Parametri!I$41+Parametri!I$33+Parametri!I$35)/100</f>
        <v>4.7716000000000001E-2</v>
      </c>
      <c r="Z8" s="160">
        <f>+(Parametri!J$36+Parametri!J$41+Parametri!J$33+Parametri!J$35)/100</f>
        <v>2.4728999999999998E-2</v>
      </c>
      <c r="AA8" s="160">
        <f>+(Parametri!K$36+Parametri!K$41+Parametri!K$33+Parametri!K$35)/100</f>
        <v>2.4728999999999998E-2</v>
      </c>
      <c r="AB8" s="159">
        <f t="shared" si="10"/>
        <v>910.26800000000003</v>
      </c>
      <c r="AC8" s="151" t="s">
        <v>89</v>
      </c>
      <c r="AG8" s="162"/>
    </row>
    <row r="9" spans="1:33">
      <c r="A9" s="157">
        <v>10000</v>
      </c>
      <c r="B9" s="158">
        <f t="shared" si="0"/>
        <v>5</v>
      </c>
      <c r="C9" s="159">
        <f t="shared" si="1"/>
        <v>120</v>
      </c>
      <c r="D9" s="159">
        <f t="shared" si="2"/>
        <v>360</v>
      </c>
      <c r="E9" s="159">
        <f t="shared" si="3"/>
        <v>1080</v>
      </c>
      <c r="F9" s="159">
        <f t="shared" si="4"/>
        <v>3440</v>
      </c>
      <c r="G9" s="159">
        <f t="shared" si="5"/>
        <v>5000</v>
      </c>
      <c r="H9" s="159">
        <f t="shared" si="6"/>
        <v>0</v>
      </c>
      <c r="I9" s="159">
        <f t="shared" si="7"/>
        <v>0</v>
      </c>
      <c r="J9" s="159">
        <f t="shared" si="8"/>
        <v>0</v>
      </c>
      <c r="K9" s="160">
        <f>+(VLOOKUP($C$1,Parametri!$B$26:$K$31,Parametri!D$24,FALSE)+Parametri!D$40+Parametri!D$32)/100+ROUND(VLOOKUP($C$1,Parametri!$B$7:$D$12,3,FALSE)*Parametri!$C$3,6)</f>
        <v>0.11202000000000001</v>
      </c>
      <c r="L9" s="160">
        <f>+(VLOOKUP($C$1,Parametri!$B$26:$K$31,Parametri!E$24,FALSE)+Parametri!E$40+Parametri!E$32)/100+ROUND(VLOOKUP($C$1,Parametri!$B$7:$D$12,3,FALSE)*Parametri!$C$3,6)</f>
        <v>0.219335</v>
      </c>
      <c r="M9" s="160">
        <f>+(VLOOKUP($C$1,Parametri!$B$26:$K$31,Parametri!F$24,FALSE)+Parametri!F$40+Parametri!F$32)/100+ROUND(VLOOKUP($C$1,Parametri!$B$7:$D$12,3,FALSE)*Parametri!$C$3,6)</f>
        <v>0.21024300000000001</v>
      </c>
      <c r="N9" s="160">
        <f>+(VLOOKUP($C$1,Parametri!$B$26:$K$31,Parametri!G$24,FALSE)+Parametri!G$40+Parametri!G$32)/100+ROUND(VLOOKUP($C$1,Parametri!$B$7:$D$12,3,FALSE)*Parametri!$C$3,6)</f>
        <v>0.21065600000000001</v>
      </c>
      <c r="O9" s="160">
        <f>+(VLOOKUP($C$1,Parametri!$B$26:$K$31,Parametri!H$24,FALSE)+Parametri!H$40+Parametri!H$32)/100+ROUND(VLOOKUP($C$1,Parametri!$B$7:$D$12,3,FALSE)*Parametri!$C$3,6)</f>
        <v>0.185721</v>
      </c>
      <c r="P9" s="160">
        <f>+(VLOOKUP($C$1,Parametri!$B$26:$K$31,Parametri!I$24,FALSE)+Parametri!I$40+Parametri!I$32)/100+ROUND(VLOOKUP($C$1,Parametri!$B$7:$D$12,3,FALSE)*Parametri!$C$3,6)</f>
        <v>0.14935300000000001</v>
      </c>
      <c r="Q9" s="160">
        <f>+(VLOOKUP($C$1,Parametri!$B$26:$K$31,Parametri!J$24,FALSE)+Parametri!J$40+Parametri!J$32)/100+ROUND(VLOOKUP($C$1,Parametri!$B$7:$D$12,3,FALSE)*Parametri!$C$3,6)</f>
        <v>0.11172899999999999</v>
      </c>
      <c r="R9" s="160">
        <f>+(VLOOKUP($C$1,Parametri!$B$26:$K$31,Parametri!K$24,FALSE)+Parametri!K$40+Parametri!K$32)/100+ROUND(VLOOKUP($C$1,Parametri!$B$7:$D$12,3,FALSE)*Parametri!$C$3,6)</f>
        <v>9.8504000000000008E-2</v>
      </c>
      <c r="S9" s="159">
        <f t="shared" si="9"/>
        <v>1972.7270800000001</v>
      </c>
      <c r="T9" s="160">
        <f>+(Parametri!D$36+Parametri!D$41+Parametri!D$33)/100</f>
        <v>3.6708999999999999E-2</v>
      </c>
      <c r="U9" s="160">
        <f>+(Parametri!E$36+Parametri!E$41+Parametri!E$33)/100</f>
        <v>8.6309000000000011E-2</v>
      </c>
      <c r="V9" s="160">
        <f>+(Parametri!F$36+Parametri!F$41+Parametri!F$33)/100</f>
        <v>6.6008999999999998E-2</v>
      </c>
      <c r="W9" s="160">
        <f>+(Parametri!G$36+Parametri!G$41+Parametri!G$33)/100</f>
        <v>6.0409000000000004E-2</v>
      </c>
      <c r="X9" s="160">
        <f>+(Parametri!H$36+Parametri!H$41+Parametri!H$33)/100</f>
        <v>5.3709000000000007E-2</v>
      </c>
      <c r="Y9" s="160">
        <f>+(Parametri!I$36+Parametri!I$41+Parametri!I$33)/100</f>
        <v>4.3809000000000008E-2</v>
      </c>
      <c r="Z9" s="160">
        <f>+(Parametri!J$36+Parametri!J$41+Parametri!J$33)/100</f>
        <v>2.2902999999999996E-2</v>
      </c>
      <c r="AA9" s="160">
        <f>+(Parametri!K$36+Parametri!K$41+Parametri!K$33)/100</f>
        <v>2.2902999999999996E-2</v>
      </c>
      <c r="AB9" s="159">
        <f t="shared" si="10"/>
        <v>583.11799999999994</v>
      </c>
      <c r="AC9" s="151" t="s">
        <v>90</v>
      </c>
      <c r="AG9" s="162"/>
    </row>
    <row r="10" spans="1:33">
      <c r="A10" s="157">
        <v>15000</v>
      </c>
      <c r="B10" s="158">
        <f>IF($A10&lt;=C$3,1,IF($A10&lt;=D$3,2,IF($A10&lt;=E$3,3,IF($A10&lt;=F$3,4,IF($A10&lt;=G$3,5,IF($A10&lt;=H$3,6,IF($A10&lt;=I$3,7,8)))))))</f>
        <v>5</v>
      </c>
      <c r="C10" s="159">
        <f>+IF(B10=1,A10,$C$3)</f>
        <v>120</v>
      </c>
      <c r="D10" s="159">
        <f>+IF(B10=1,0,IF(B10=2,A10-$C$3,$D$3-$C$3))</f>
        <v>360</v>
      </c>
      <c r="E10" s="159">
        <f>+IF(OR(B10=1,B10=2),0,IF(B10=3,A10-$D$3,$E$3-$D$3))</f>
        <v>1080</v>
      </c>
      <c r="F10" s="159">
        <f>+IF(OR(B10=1,B10=2,B10=3),0,IF(B10=4,A10-$E$3,$F$3-$E$3))</f>
        <v>3440</v>
      </c>
      <c r="G10" s="159">
        <f>+IF(OR(B10=1,B10=2,B10=3,B10=4),0,IF(B10=5,A10-$F$3,$G$3-$F$3))</f>
        <v>10000</v>
      </c>
      <c r="H10" s="159">
        <f>+IF(OR(B10=1,B10=2,B10=3,B10=4,B10=5),0,IF(B10=6,A10-$G$3,$H$3-$G$3))</f>
        <v>0</v>
      </c>
      <c r="I10" s="159">
        <f>+IF(OR(B10=1,B10=2,B10=3,B10=4,B10=5,B10=6),0,IF(B10=7,A10-$H$3,$I$3-$H$3))</f>
        <v>0</v>
      </c>
      <c r="J10" s="159">
        <f>+IF(OR(B10=1,B10=2,B10=3,B10=4,B10=5,B10=6,B10=7),0,IF(B10=8,A10-$H$3,"ERRORE"))</f>
        <v>0</v>
      </c>
      <c r="K10" s="160">
        <f>+(VLOOKUP($C$1,Parametri!$B$26:$K$31,Parametri!D$24,FALSE)+Parametri!D$40+Parametri!D$32)/100</f>
        <v>3.7624999999999999E-2</v>
      </c>
      <c r="L10" s="160">
        <f>+(VLOOKUP($C$1,Parametri!$B$26:$K$31,Parametri!E$24,FALSE)+Parametri!E$40+Parametri!E$32)/100</f>
        <v>0.14493999999999999</v>
      </c>
      <c r="M10" s="160">
        <f>+(VLOOKUP($C$1,Parametri!$B$26:$K$31,Parametri!F$24,FALSE)+Parametri!F$40+Parametri!F$32)/100</f>
        <v>0.13584800000000002</v>
      </c>
      <c r="N10" s="160">
        <f>+(VLOOKUP($C$1,Parametri!$B$26:$K$31,Parametri!G$24,FALSE)+Parametri!G$40+Parametri!G$32)/100</f>
        <v>0.13626100000000002</v>
      </c>
      <c r="O10" s="160">
        <f>+(VLOOKUP($C$1,Parametri!$B$26:$K$31,Parametri!H$24,FALSE)+Parametri!H$40+Parametri!H$32)/100</f>
        <v>0.11132599999999999</v>
      </c>
      <c r="P10" s="160">
        <f>+(VLOOKUP($C$1,Parametri!$B$26:$K$31,Parametri!I$24,FALSE)+Parametri!I$40+Parametri!I$32)/100</f>
        <v>7.4957999999999997E-2</v>
      </c>
      <c r="Q10" s="160">
        <f>+(VLOOKUP($C$1,Parametri!$B$26:$K$31,Parametri!J$24,FALSE)+Parametri!J$40+Parametri!J$32)/100</f>
        <v>3.7333999999999999E-2</v>
      </c>
      <c r="R10" s="160">
        <f>+(VLOOKUP($C$1,Parametri!$B$26:$K$31,Parametri!K$24,FALSE)+Parametri!K$40+Parametri!K$32)/100</f>
        <v>2.4108999999999998E-2</v>
      </c>
      <c r="S10" s="159">
        <f>+SUMPRODUCT(K10:R10,C10:J10)</f>
        <v>1785.40708</v>
      </c>
      <c r="T10" s="160">
        <f>+(Parametri!D$36+Parametri!D$41+Parametri!D$33+Parametri!D$35)/100</f>
        <v>4.0616000000000006E-2</v>
      </c>
      <c r="U10" s="160">
        <f>+(Parametri!E$36+Parametri!E$41+Parametri!E$33+Parametri!E$35)/100</f>
        <v>9.0216000000000018E-2</v>
      </c>
      <c r="V10" s="160">
        <f>+(Parametri!F$36+Parametri!F$41+Parametri!F$33+Parametri!F$35)/100</f>
        <v>6.9916000000000006E-2</v>
      </c>
      <c r="W10" s="160">
        <f>+(Parametri!G$36+Parametri!G$41+Parametri!G$33+Parametri!G$35)/100</f>
        <v>6.4315999999999998E-2</v>
      </c>
      <c r="X10" s="160">
        <f>+(Parametri!H$36+Parametri!H$41+Parametri!H$33+Parametri!H$35)/100</f>
        <v>5.7616000000000007E-2</v>
      </c>
      <c r="Y10" s="160">
        <f>+(Parametri!I$36+Parametri!I$41+Parametri!I$33+Parametri!I$35)/100</f>
        <v>4.7716000000000001E-2</v>
      </c>
      <c r="Z10" s="160">
        <f>+(Parametri!J$36+Parametri!J$41+Parametri!J$33+Parametri!J$35)/100</f>
        <v>2.4728999999999998E-2</v>
      </c>
      <c r="AA10" s="160">
        <f>+(Parametri!K$36+Parametri!K$41+Parametri!K$33+Parametri!K$35)/100</f>
        <v>2.4728999999999998E-2</v>
      </c>
      <c r="AB10" s="159">
        <f>+SUMPRODUCT(T10:AA10,C10:J10)</f>
        <v>910.26800000000003</v>
      </c>
      <c r="AC10" s="161" t="s">
        <v>91</v>
      </c>
      <c r="AG10" s="162"/>
    </row>
    <row r="11" spans="1:33" customFormat="1">
      <c r="A11" s="157">
        <v>70000</v>
      </c>
      <c r="B11" s="158">
        <f>IF($A11&lt;=C$3,1,IF($A11&lt;=D$3,2,IF($A11&lt;=E$3,3,IF($A11&lt;=F$3,4,IF($A11&lt;=G$3,5,IF($A11&lt;=H$3,6,IF($A11&lt;=I$3,7,8)))))))</f>
        <v>5</v>
      </c>
      <c r="C11" s="159">
        <f>+IF(B11=1,A11,$C$3)</f>
        <v>120</v>
      </c>
      <c r="D11" s="159">
        <f>+IF(B11=1,0,IF(B11=2,A11-$C$3,$D$3-$C$3))</f>
        <v>360</v>
      </c>
      <c r="E11" s="159">
        <f>+IF(OR(B11=1,B11=2),0,IF(B11=3,A11-$D$3,$E$3-$D$3))</f>
        <v>1080</v>
      </c>
      <c r="F11" s="159">
        <f>+IF(OR(B11=1,B11=2,B11=3),0,IF(B11=4,A11-$E$3,$F$3-$E$3))</f>
        <v>3440</v>
      </c>
      <c r="G11" s="159">
        <f>+IF(OR(B11=1,B11=2,B11=3,B11=4),0,IF(B11=5,A11-$F$3,$G$3-$F$3))</f>
        <v>65000</v>
      </c>
      <c r="H11" s="159">
        <f>+IF(OR(B11=1,B11=2,B11=3,B11=4,B11=5),0,IF(B11=6,A11-$G$3,$H$3-$G$3))</f>
        <v>0</v>
      </c>
      <c r="I11" s="159">
        <f>+IF(OR(B11=1,B11=2,B11=3,B11=4,B11=5,B11=6),0,IF(B11=7,A11-$H$3,$I$3-$H$3))</f>
        <v>0</v>
      </c>
      <c r="J11" s="159">
        <f>+IF(OR(B11=1,B11=2,B11=3,B11=4,B11=5,B11=6,B11=7),0,IF(B11=8,A11-$H$3,"ERRORE"))</f>
        <v>0</v>
      </c>
      <c r="K11" s="160">
        <f>+(VLOOKUP($C$1,Parametri!$B$26:$K$31,Parametri!D$24,FALSE)+Parametri!D$40+Parametri!D$32)/100+ROUND(VLOOKUP($C$1,Parametri!$B$7:$D$12,3,FALSE)*Parametri!$C$3,6)</f>
        <v>0.11202000000000001</v>
      </c>
      <c r="L11" s="160">
        <f>+(VLOOKUP($C$1,Parametri!$B$26:$K$31,Parametri!E$24,FALSE)+Parametri!E$40+Parametri!E$32)/100+ROUND(VLOOKUP($C$1,Parametri!$B$7:$D$12,3,FALSE)*Parametri!$C$3,6)</f>
        <v>0.219335</v>
      </c>
      <c r="M11" s="160">
        <f>+(VLOOKUP($C$1,Parametri!$B$26:$K$31,Parametri!F$24,FALSE)+Parametri!F$40+Parametri!F$32)/100+ROUND(VLOOKUP($C$1,Parametri!$B$7:$D$12,3,FALSE)*Parametri!$C$3,6)</f>
        <v>0.21024300000000001</v>
      </c>
      <c r="N11" s="160">
        <f>+(VLOOKUP($C$1,Parametri!$B$26:$K$31,Parametri!G$24,FALSE)+Parametri!G$40+Parametri!G$32)/100+ROUND(VLOOKUP($C$1,Parametri!$B$7:$D$12,3,FALSE)*Parametri!$C$3,6)</f>
        <v>0.21065600000000001</v>
      </c>
      <c r="O11" s="160">
        <f>+(VLOOKUP($C$1,Parametri!$B$26:$K$31,Parametri!H$24,FALSE)+Parametri!H$40+Parametri!H$32)/100+ROUND(VLOOKUP($C$1,Parametri!$B$7:$D$12,3,FALSE)*Parametri!$C$3,6)</f>
        <v>0.185721</v>
      </c>
      <c r="P11" s="160">
        <f>+(VLOOKUP($C$1,Parametri!$B$26:$K$31,Parametri!I$24,FALSE)+Parametri!I$40+Parametri!I$32)/100+ROUND(VLOOKUP($C$1,Parametri!$B$7:$D$12,3,FALSE)*Parametri!$C$3,6)</f>
        <v>0.14935300000000001</v>
      </c>
      <c r="Q11" s="160">
        <f>+(VLOOKUP($C$1,Parametri!$B$26:$K$31,Parametri!J$24,FALSE)+Parametri!J$40+Parametri!J$32)/100+ROUND(VLOOKUP($C$1,Parametri!$B$7:$D$12,3,FALSE)*Parametri!$C$3,6)</f>
        <v>0.11172899999999999</v>
      </c>
      <c r="R11" s="160">
        <f>+(VLOOKUP($C$1,Parametri!$B$26:$K$31,Parametri!K$24,FALSE)+Parametri!K$40+Parametri!K$32)/100+ROUND(VLOOKUP($C$1,Parametri!$B$7:$D$12,3,FALSE)*Parametri!$C$3,6)</f>
        <v>9.8504000000000008E-2</v>
      </c>
      <c r="S11" s="159">
        <f>+SUMPRODUCT(K11:R11,C11:J11)</f>
        <v>13115.987079999999</v>
      </c>
      <c r="T11" s="160">
        <f>+(Parametri!D$36+Parametri!D$41+Parametri!D$33)/100</f>
        <v>3.6708999999999999E-2</v>
      </c>
      <c r="U11" s="160">
        <f>+(Parametri!E$36+Parametri!E$41+Parametri!E$33)/100</f>
        <v>8.6309000000000011E-2</v>
      </c>
      <c r="V11" s="160">
        <f>+(Parametri!F$36+Parametri!F$41+Parametri!F$33)/100</f>
        <v>6.6008999999999998E-2</v>
      </c>
      <c r="W11" s="160">
        <f>+(Parametri!G$36+Parametri!G$41+Parametri!G$33)/100</f>
        <v>6.0409000000000004E-2</v>
      </c>
      <c r="X11" s="160">
        <f>+(Parametri!H$36+Parametri!H$41+Parametri!H$33)/100</f>
        <v>5.3709000000000007E-2</v>
      </c>
      <c r="Y11" s="160">
        <f>+(Parametri!I$36+Parametri!I$41+Parametri!I$33)/100</f>
        <v>4.3809000000000008E-2</v>
      </c>
      <c r="Z11" s="160">
        <f>+(Parametri!J$36+Parametri!J$41+Parametri!J$33)/100</f>
        <v>2.2902999999999996E-2</v>
      </c>
      <c r="AA11" s="160">
        <f>+(Parametri!K$36+Parametri!K$41+Parametri!K$33)/100</f>
        <v>2.2902999999999996E-2</v>
      </c>
      <c r="AB11" s="159">
        <f>+SUMPRODUCT(T11:AA11,C11:J11)</f>
        <v>3805.6580000000004</v>
      </c>
      <c r="AC11" s="180" t="s">
        <v>92</v>
      </c>
      <c r="AG11" s="181"/>
    </row>
    <row r="12" spans="1:33" customFormat="1">
      <c r="A12" s="157">
        <v>200000</v>
      </c>
      <c r="B12" s="158">
        <f>IF($A12&lt;=C$3,1,IF($A12&lt;=D$3,2,IF($A12&lt;=E$3,3,IF($A12&lt;=F$3,4,IF($A12&lt;=G$3,5,IF($A12&lt;=H$3,6,IF($A12&lt;=I$3,7,8)))))))</f>
        <v>6</v>
      </c>
      <c r="C12" s="159">
        <f>+IF(B12=1,A12,$C$3)</f>
        <v>120</v>
      </c>
      <c r="D12" s="159">
        <f>+IF(B12=1,0,IF(B12=2,A12-$C$3,$D$3-$C$3))</f>
        <v>360</v>
      </c>
      <c r="E12" s="159">
        <f>+IF(OR(B12=1,B12=2),0,IF(B12=3,A12-$D$3,$E$3-$D$3))</f>
        <v>1080</v>
      </c>
      <c r="F12" s="159">
        <f>+IF(OR(B12=1,B12=2,B12=3),0,IF(B12=4,A12-$E$3,$F$3-$E$3))</f>
        <v>3440</v>
      </c>
      <c r="G12" s="159">
        <f>+IF(OR(B12=1,B12=2,B12=3,B12=4),0,IF(B12=5,A12-$F$3,$G$3-$F$3))</f>
        <v>75000</v>
      </c>
      <c r="H12" s="159">
        <f>+IF(OR(B12=1,B12=2,B12=3,B12=4,B12=5),0,IF(B12=6,A12-$G$3,$H$3-$G$3))</f>
        <v>120000</v>
      </c>
      <c r="I12" s="159">
        <f>+IF(OR(B12=1,B12=2,B12=3,B12=4,B12=5,B12=6),0,IF(B12=7,A12-$H$3,$I$3-$H$3))</f>
        <v>0</v>
      </c>
      <c r="J12" s="159">
        <f>+IF(OR(B12=1,B12=2,B12=3,B12=4,B12=5,B12=6,B12=7),0,IF(B12=8,A12-$H$3,"ERRORE"))</f>
        <v>0</v>
      </c>
      <c r="K12" s="160">
        <f>+(VLOOKUP($C$1,Parametri!$B$26:$K$31,Parametri!D$24,FALSE)+Parametri!D$40+Parametri!D$32)/100+ROUND(VLOOKUP($C$1,Parametri!$B$7:$D$12,3,FALSE)*Parametri!$C$3,6)</f>
        <v>0.11202000000000001</v>
      </c>
      <c r="L12" s="160">
        <f>+(VLOOKUP($C$1,Parametri!$B$26:$K$31,Parametri!E$24,FALSE)+Parametri!E$40+Parametri!E$32)/100+ROUND(VLOOKUP($C$1,Parametri!$B$7:$D$12,3,FALSE)*Parametri!$C$3,6)</f>
        <v>0.219335</v>
      </c>
      <c r="M12" s="160">
        <f>+(VLOOKUP($C$1,Parametri!$B$26:$K$31,Parametri!F$24,FALSE)+Parametri!F$40+Parametri!F$32)/100+ROUND(VLOOKUP($C$1,Parametri!$B$7:$D$12,3,FALSE)*Parametri!$C$3,6)</f>
        <v>0.21024300000000001</v>
      </c>
      <c r="N12" s="160">
        <f>+(VLOOKUP($C$1,Parametri!$B$26:$K$31,Parametri!G$24,FALSE)+Parametri!G$40+Parametri!G$32)/100+ROUND(VLOOKUP($C$1,Parametri!$B$7:$D$12,3,FALSE)*Parametri!$C$3,6)</f>
        <v>0.21065600000000001</v>
      </c>
      <c r="O12" s="160">
        <f>+(VLOOKUP($C$1,Parametri!$B$26:$K$31,Parametri!H$24,FALSE)+Parametri!H$40+Parametri!H$32)/100+ROUND(VLOOKUP($C$1,Parametri!$B$7:$D$12,3,FALSE)*Parametri!$C$3,6)</f>
        <v>0.185721</v>
      </c>
      <c r="P12" s="160">
        <f>+(VLOOKUP($C$1,Parametri!$B$26:$K$31,Parametri!I$24,FALSE)+Parametri!I$40+Parametri!I$32)/100+ROUND(VLOOKUP($C$1,Parametri!$B$7:$D$12,3,FALSE)*Parametri!$C$3,6)</f>
        <v>0.14935300000000001</v>
      </c>
      <c r="Q12" s="160">
        <f>+(VLOOKUP($C$1,Parametri!$B$26:$K$31,Parametri!J$24,FALSE)+Parametri!J$40+Parametri!J$32)/100+ROUND(VLOOKUP($C$1,Parametri!$B$7:$D$12,3,FALSE)*Parametri!$C$3,6)</f>
        <v>0.11172899999999999</v>
      </c>
      <c r="R12" s="160">
        <f>+(VLOOKUP($C$1,Parametri!$B$26:$K$31,Parametri!K$24,FALSE)+Parametri!K$40+Parametri!K$32)/100+ROUND(VLOOKUP($C$1,Parametri!$B$7:$D$12,3,FALSE)*Parametri!$C$3,6)</f>
        <v>9.8504000000000008E-2</v>
      </c>
      <c r="S12" s="159">
        <f>+SUMPRODUCT(K12:R12,C12:J12)</f>
        <v>32895.557079999999</v>
      </c>
      <c r="T12" s="160">
        <f>+(Parametri!D$36+Parametri!D$41+Parametri!D$33)/100</f>
        <v>3.6708999999999999E-2</v>
      </c>
      <c r="U12" s="160">
        <f>+(Parametri!E$36+Parametri!E$41+Parametri!E$33)/100</f>
        <v>8.6309000000000011E-2</v>
      </c>
      <c r="V12" s="160">
        <f>+(Parametri!F$36+Parametri!F$41+Parametri!F$33)/100</f>
        <v>6.6008999999999998E-2</v>
      </c>
      <c r="W12" s="160">
        <f>+(Parametri!G$36+Parametri!G$41+Parametri!G$33)/100</f>
        <v>6.0409000000000004E-2</v>
      </c>
      <c r="X12" s="160">
        <f>+(Parametri!H$36+Parametri!H$41+Parametri!H$33)/100</f>
        <v>5.3709000000000007E-2</v>
      </c>
      <c r="Y12" s="160">
        <f>+(Parametri!I$36+Parametri!I$41+Parametri!I$33)/100</f>
        <v>4.3809000000000008E-2</v>
      </c>
      <c r="Z12" s="160">
        <f>+(Parametri!J$36+Parametri!J$41+Parametri!J$33)/100</f>
        <v>2.2902999999999996E-2</v>
      </c>
      <c r="AA12" s="160">
        <f>+(Parametri!K$36+Parametri!K$41+Parametri!K$33)/100</f>
        <v>2.2902999999999996E-2</v>
      </c>
      <c r="AB12" s="159">
        <f>+SUMPRODUCT(T12:AA12,C12:J12)</f>
        <v>9599.8280000000013</v>
      </c>
      <c r="AC12" s="180" t="s">
        <v>93</v>
      </c>
      <c r="AG12" s="181"/>
    </row>
    <row r="15" spans="1:33">
      <c r="A15" s="146" t="s">
        <v>69</v>
      </c>
      <c r="B15" s="147"/>
      <c r="C15" s="148" t="s">
        <v>8</v>
      </c>
      <c r="D15" s="148"/>
      <c r="E15" s="149"/>
      <c r="F15" s="147"/>
      <c r="G15" s="147"/>
      <c r="H15" s="147"/>
      <c r="I15" s="147"/>
      <c r="J15" s="147"/>
      <c r="K15" s="150" t="s">
        <v>70</v>
      </c>
      <c r="L15" s="150" t="s">
        <v>71</v>
      </c>
      <c r="M15" s="150" t="s">
        <v>72</v>
      </c>
      <c r="N15" s="150" t="s">
        <v>73</v>
      </c>
      <c r="O15" s="150" t="s">
        <v>74</v>
      </c>
      <c r="P15" s="150" t="s">
        <v>75</v>
      </c>
      <c r="Q15" s="150" t="s">
        <v>76</v>
      </c>
      <c r="R15" s="150" t="s">
        <v>77</v>
      </c>
      <c r="S15" s="150" t="s">
        <v>78</v>
      </c>
      <c r="T15" s="150" t="s">
        <v>70</v>
      </c>
      <c r="U15" s="150" t="s">
        <v>71</v>
      </c>
      <c r="V15" s="150" t="s">
        <v>72</v>
      </c>
      <c r="W15" s="150" t="s">
        <v>73</v>
      </c>
      <c r="X15" s="150" t="s">
        <v>74</v>
      </c>
      <c r="Y15" s="150" t="s">
        <v>75</v>
      </c>
      <c r="Z15" s="150" t="s">
        <v>76</v>
      </c>
      <c r="AA15" s="150" t="s">
        <v>77</v>
      </c>
      <c r="AB15" s="150" t="s">
        <v>78</v>
      </c>
    </row>
    <row r="16" spans="1:33" ht="25.5">
      <c r="A16" s="328" t="s">
        <v>79</v>
      </c>
      <c r="B16" s="152" t="s">
        <v>80</v>
      </c>
      <c r="C16" s="153">
        <v>0</v>
      </c>
      <c r="D16" s="153">
        <v>121</v>
      </c>
      <c r="E16" s="153">
        <v>481</v>
      </c>
      <c r="F16" s="153">
        <v>1561</v>
      </c>
      <c r="G16" s="153">
        <v>5001</v>
      </c>
      <c r="H16" s="153">
        <v>80001</v>
      </c>
      <c r="I16" s="153">
        <v>200000</v>
      </c>
      <c r="J16" s="153">
        <v>1000000</v>
      </c>
      <c r="K16" s="152" t="s">
        <v>81</v>
      </c>
      <c r="L16" s="152" t="s">
        <v>81</v>
      </c>
      <c r="M16" s="152" t="s">
        <v>81</v>
      </c>
      <c r="N16" s="152" t="s">
        <v>81</v>
      </c>
      <c r="O16" s="152" t="s">
        <v>81</v>
      </c>
      <c r="P16" s="152" t="s">
        <v>81</v>
      </c>
      <c r="Q16" s="152" t="s">
        <v>81</v>
      </c>
      <c r="R16" s="152" t="s">
        <v>81</v>
      </c>
      <c r="S16" s="152" t="s">
        <v>81</v>
      </c>
      <c r="T16" s="152" t="s">
        <v>82</v>
      </c>
      <c r="U16" s="152" t="s">
        <v>82</v>
      </c>
      <c r="V16" s="152" t="s">
        <v>82</v>
      </c>
      <c r="W16" s="152" t="s">
        <v>82</v>
      </c>
      <c r="X16" s="152" t="s">
        <v>82</v>
      </c>
      <c r="Y16" s="152" t="s">
        <v>82</v>
      </c>
      <c r="Z16" s="152" t="s">
        <v>82</v>
      </c>
      <c r="AA16" s="152" t="s">
        <v>82</v>
      </c>
      <c r="AB16" s="152" t="s">
        <v>82</v>
      </c>
    </row>
    <row r="17" spans="1:33" ht="38.25">
      <c r="A17" s="329"/>
      <c r="B17" s="154"/>
      <c r="C17" s="155">
        <v>120</v>
      </c>
      <c r="D17" s="155">
        <v>480</v>
      </c>
      <c r="E17" s="155">
        <v>1560</v>
      </c>
      <c r="F17" s="155">
        <v>5000</v>
      </c>
      <c r="G17" s="155">
        <v>80000</v>
      </c>
      <c r="H17" s="155">
        <v>200000</v>
      </c>
      <c r="I17" s="155">
        <v>1000000</v>
      </c>
      <c r="J17" s="155" t="s">
        <v>83</v>
      </c>
      <c r="K17" s="156" t="s">
        <v>84</v>
      </c>
      <c r="L17" s="156" t="s">
        <v>84</v>
      </c>
      <c r="M17" s="156" t="s">
        <v>84</v>
      </c>
      <c r="N17" s="156" t="s">
        <v>84</v>
      </c>
      <c r="O17" s="156" t="s">
        <v>84</v>
      </c>
      <c r="P17" s="156" t="s">
        <v>84</v>
      </c>
      <c r="Q17" s="156" t="s">
        <v>84</v>
      </c>
      <c r="R17" s="156" t="s">
        <v>84</v>
      </c>
      <c r="S17" s="156" t="s">
        <v>84</v>
      </c>
      <c r="T17" s="156" t="s">
        <v>85</v>
      </c>
      <c r="U17" s="156" t="s">
        <v>85</v>
      </c>
      <c r="V17" s="156" t="s">
        <v>85</v>
      </c>
      <c r="W17" s="156" t="s">
        <v>85</v>
      </c>
      <c r="X17" s="156" t="s">
        <v>85</v>
      </c>
      <c r="Y17" s="156" t="s">
        <v>85</v>
      </c>
      <c r="Z17" s="156" t="s">
        <v>85</v>
      </c>
      <c r="AA17" s="156" t="s">
        <v>85</v>
      </c>
      <c r="AB17" s="156" t="s">
        <v>85</v>
      </c>
    </row>
    <row r="18" spans="1:33">
      <c r="A18" s="157">
        <v>480</v>
      </c>
      <c r="B18" s="158">
        <f t="shared" ref="B18:B23" si="11">IF($A18&lt;=C$3,1,IF($A18&lt;=D$3,2,IF($A18&lt;=E$3,3,IF($A18&lt;=F$3,4,IF($A18&lt;=G$3,5,IF($A18&lt;=H$3,6,IF($A18&lt;=I$3,7,8)))))))</f>
        <v>2</v>
      </c>
      <c r="C18" s="159">
        <f t="shared" ref="C18:C23" si="12">+IF(B18=1,A18,$C$3)</f>
        <v>120</v>
      </c>
      <c r="D18" s="159">
        <f t="shared" ref="D18:D23" si="13">+IF(B18=1,0,IF(B18=2,A18-$C$3,$D$3-$C$3))</f>
        <v>360</v>
      </c>
      <c r="E18" s="159">
        <f t="shared" ref="E18:E23" si="14">+IF(OR(B18=1,B18=2),0,IF(B18=3,A18-$D$3,$E$3-$D$3))</f>
        <v>0</v>
      </c>
      <c r="F18" s="159">
        <f t="shared" ref="F18:F23" si="15">+IF(OR(B18=1,B18=2,B18=3),0,IF(B18=4,A18-$E$3,$F$3-$E$3))</f>
        <v>0</v>
      </c>
      <c r="G18" s="159">
        <f t="shared" ref="G18:G23" si="16">+IF(OR(B18=1,B18=2,B18=3,B18=4),0,IF(B18=5,A18-$F$3,$G$3-$F$3))</f>
        <v>0</v>
      </c>
      <c r="H18" s="159">
        <f t="shared" ref="H18:H23" si="17">+IF(OR(B18=1,B18=2,B18=3,B18=4,B18=5),0,IF(B18=6,A18-$G$3,$H$3-$G$3))</f>
        <v>0</v>
      </c>
      <c r="I18" s="159">
        <f t="shared" ref="I18:I23" si="18">+IF(OR(B18=1,B18=2,B18=3,B18=4,B18=5,B18=6),0,IF(B18=7,A18-$H$3,$I$3-$H$3))</f>
        <v>0</v>
      </c>
      <c r="J18" s="159">
        <f t="shared" ref="J18:J23" si="19">+IF(OR(B18=1,B18=2,B18=3,B18=4,B18=5,B18=6,B18=7),0,IF(B18=8,A18-$H$3,"ERRORE"))</f>
        <v>0</v>
      </c>
      <c r="K18" s="160">
        <f>+(VLOOKUP($C$15,Parametri!$B$26:$K$31,Parametri!D$24,FALSE)+Parametri!D$40+Parametri!D$32)/100+ROUND(VLOOKUP($C$15,Parametri!$B$7:$D$12,3,FALSE)*Parametri!$C$3,6)</f>
        <v>0.11202000000000001</v>
      </c>
      <c r="L18" s="160">
        <f>+(VLOOKUP($C$15,Parametri!$B$26:$K$31,Parametri!E$24,FALSE)+Parametri!E$40+Parametri!E$32)/100+ROUND(VLOOKUP($C$15,Parametri!$B$7:$D$12,3,FALSE)*Parametri!$C$3,6)</f>
        <v>0.19138700000000003</v>
      </c>
      <c r="M18" s="160">
        <f>+(VLOOKUP($C$15,Parametri!$B$26:$K$31,Parametri!F$24,FALSE)+Parametri!F$40+Parametri!F$32)/100+ROUND(VLOOKUP($C$15,Parametri!$B$7:$D$12,3,FALSE)*Parametri!$C$3,6)</f>
        <v>0.18466300000000002</v>
      </c>
      <c r="N18" s="160">
        <f>+(VLOOKUP($C$15,Parametri!$B$26:$K$31,Parametri!G$24,FALSE)+Parametri!G$40+Parametri!G$32)/100+ROUND(VLOOKUP($C$15,Parametri!$B$7:$D$12,3,FALSE)*Parametri!$C$3,6)</f>
        <v>0.18496899999999999</v>
      </c>
      <c r="O18" s="160">
        <f>+(VLOOKUP($C$15,Parametri!$B$26:$K$31,Parametri!H$24,FALSE)+Parametri!H$40+Parametri!H$32)/100+ROUND(VLOOKUP($C$15,Parametri!$B$7:$D$12,3,FALSE)*Parametri!$C$3,6)</f>
        <v>0.16652800000000001</v>
      </c>
      <c r="P18" s="160">
        <f>+(VLOOKUP($C$15,Parametri!$B$26:$K$31,Parametri!I$24,FALSE)+Parametri!I$40+Parametri!I$32)/100+ROUND(VLOOKUP($C$15,Parametri!$B$7:$D$12,3,FALSE)*Parametri!$C$3,6)</f>
        <v>0.13963</v>
      </c>
      <c r="Q18" s="160">
        <f>+(VLOOKUP($C$15,Parametri!$B$26:$K$31,Parametri!J$24,FALSE)+Parametri!J$40+Parametri!J$32)/100+ROUND(VLOOKUP($C$15,Parametri!$B$7:$D$12,3,FALSE)*Parametri!$C$3,6)</f>
        <v>0.106958</v>
      </c>
      <c r="R18" s="160">
        <f>+(VLOOKUP($C$15,Parametri!$B$26:$K$31,Parametri!K$24,FALSE)+Parametri!K$40+Parametri!K$32)/100+ROUND(VLOOKUP($C$15,Parametri!$B$7:$D$12,3,FALSE)*Parametri!$C$3,6)</f>
        <v>9.7176999999999999E-2</v>
      </c>
      <c r="S18" s="159">
        <f t="shared" ref="S18:S23" si="20">+SUMPRODUCT(K18:R18,C18:J18)</f>
        <v>82.341720000000024</v>
      </c>
      <c r="T18" s="160">
        <f>+(Parametri!D$36+Parametri!D$41+Parametri!D$33)/100</f>
        <v>3.6708999999999999E-2</v>
      </c>
      <c r="U18" s="160">
        <f>+(Parametri!E$36+Parametri!E$41+Parametri!E$33)/100</f>
        <v>8.6309000000000011E-2</v>
      </c>
      <c r="V18" s="160">
        <f>+(Parametri!F$36+Parametri!F$41+Parametri!F$33)/100</f>
        <v>6.6008999999999998E-2</v>
      </c>
      <c r="W18" s="160">
        <f>+(Parametri!G$36+Parametri!G$41+Parametri!G$33)/100</f>
        <v>6.0409000000000004E-2</v>
      </c>
      <c r="X18" s="160">
        <f>+(Parametri!H$36+Parametri!H$41+Parametri!H$33)/100</f>
        <v>5.3709000000000007E-2</v>
      </c>
      <c r="Y18" s="160">
        <f>+(Parametri!I$36+Parametri!I$41+Parametri!I$33)/100</f>
        <v>4.3809000000000008E-2</v>
      </c>
      <c r="Z18" s="160">
        <f>+(Parametri!J$36+Parametri!J$41+Parametri!J$33)/100</f>
        <v>2.2902999999999996E-2</v>
      </c>
      <c r="AA18" s="160">
        <f>+(Parametri!K$36+Parametri!K$41+Parametri!K$33)/100</f>
        <v>2.2902999999999996E-2</v>
      </c>
      <c r="AB18" s="159">
        <f t="shared" ref="AB18:AB23" si="21">+SUMPRODUCT(T18:AA18,C18:J18)</f>
        <v>35.476320000000001</v>
      </c>
      <c r="AC18" s="151" t="s">
        <v>86</v>
      </c>
    </row>
    <row r="19" spans="1:33">
      <c r="A19" s="157">
        <v>480</v>
      </c>
      <c r="B19" s="158">
        <f t="shared" si="11"/>
        <v>2</v>
      </c>
      <c r="C19" s="159">
        <f t="shared" si="12"/>
        <v>120</v>
      </c>
      <c r="D19" s="159">
        <f t="shared" si="13"/>
        <v>360</v>
      </c>
      <c r="E19" s="159">
        <f t="shared" si="14"/>
        <v>0</v>
      </c>
      <c r="F19" s="159">
        <f t="shared" si="15"/>
        <v>0</v>
      </c>
      <c r="G19" s="159">
        <f t="shared" si="16"/>
        <v>0</v>
      </c>
      <c r="H19" s="159">
        <f t="shared" si="17"/>
        <v>0</v>
      </c>
      <c r="I19" s="159">
        <f t="shared" si="18"/>
        <v>0</v>
      </c>
      <c r="J19" s="159">
        <f t="shared" si="19"/>
        <v>0</v>
      </c>
      <c r="K19" s="160">
        <f>+(VLOOKUP($C$15,Parametri!$B$26:$K$31,Parametri!D$24,FALSE)+Parametri!D$40+Parametri!D$32)/100+ROUND(VLOOKUP($C$15,Parametri!$B$7:$D$12,3,FALSE)*Parametri!$C$3,6)</f>
        <v>0.11202000000000001</v>
      </c>
      <c r="L19" s="160">
        <f>+(VLOOKUP($C$15,Parametri!$B$26:$K$31,Parametri!E$24,FALSE)+Parametri!E$40+Parametri!E$32)/100+ROUND(VLOOKUP($C$15,Parametri!$B$7:$D$12,3,FALSE)*Parametri!$C$3,6)</f>
        <v>0.19138700000000003</v>
      </c>
      <c r="M19" s="160">
        <f>+(VLOOKUP($C$15,Parametri!$B$26:$K$31,Parametri!F$24,FALSE)+Parametri!F$40+Parametri!F$32)/100+ROUND(VLOOKUP($C$15,Parametri!$B$7:$D$12,3,FALSE)*Parametri!$C$3,6)</f>
        <v>0.18466300000000002</v>
      </c>
      <c r="N19" s="160">
        <f>+(VLOOKUP($C$15,Parametri!$B$26:$K$31,Parametri!G$24,FALSE)+Parametri!G$40+Parametri!G$32)/100+ROUND(VLOOKUP($C$15,Parametri!$B$7:$D$12,3,FALSE)*Parametri!$C$3,6)</f>
        <v>0.18496899999999999</v>
      </c>
      <c r="O19" s="160">
        <f>+(VLOOKUP($C$15,Parametri!$B$26:$K$31,Parametri!H$24,FALSE)+Parametri!H$40+Parametri!H$32)/100+ROUND(VLOOKUP($C$15,Parametri!$B$7:$D$12,3,FALSE)*Parametri!$C$3,6)</f>
        <v>0.16652800000000001</v>
      </c>
      <c r="P19" s="160">
        <f>+(VLOOKUP($C$15,Parametri!$B$26:$K$31,Parametri!I$24,FALSE)+Parametri!I$40+Parametri!I$32)/100+ROUND(VLOOKUP($C$15,Parametri!$B$7:$D$12,3,FALSE)*Parametri!$C$3,6)</f>
        <v>0.13963</v>
      </c>
      <c r="Q19" s="160">
        <f>+(VLOOKUP($C$15,Parametri!$B$26:$K$31,Parametri!J$24,FALSE)+Parametri!J$40+Parametri!J$32)/100+ROUND(VLOOKUP($C$15,Parametri!$B$7:$D$12,3,FALSE)*Parametri!$C$3,6)</f>
        <v>0.106958</v>
      </c>
      <c r="R19" s="160">
        <f>+(VLOOKUP($C$15,Parametri!$B$26:$K$31,Parametri!K$24,FALSE)+Parametri!K$40+Parametri!K$32)/100+ROUND(VLOOKUP($C$15,Parametri!$B$7:$D$12,3,FALSE)*Parametri!$C$3,6)</f>
        <v>9.7176999999999999E-2</v>
      </c>
      <c r="S19" s="159">
        <f t="shared" si="20"/>
        <v>82.341720000000024</v>
      </c>
      <c r="T19" s="160">
        <f>+(Parametri!D$36+Parametri!D$41+Parametri!D$33+Parametri!D$35)/100</f>
        <v>4.0616000000000006E-2</v>
      </c>
      <c r="U19" s="160">
        <f>+(Parametri!E$36+Parametri!E$41+Parametri!E$33+Parametri!E$35)/100</f>
        <v>9.0216000000000018E-2</v>
      </c>
      <c r="V19" s="160">
        <f>+(Parametri!F$36+Parametri!F$41+Parametri!F$33+Parametri!F$35)/100</f>
        <v>6.9916000000000006E-2</v>
      </c>
      <c r="W19" s="160">
        <f>+(Parametri!G$36+Parametri!G$41+Parametri!G$33+Parametri!G$35)/100</f>
        <v>6.4315999999999998E-2</v>
      </c>
      <c r="X19" s="160">
        <f>+(Parametri!H$36+Parametri!H$41+Parametri!H$33+Parametri!H$35)/100</f>
        <v>5.7616000000000007E-2</v>
      </c>
      <c r="Y19" s="160">
        <f>+(Parametri!I$36+Parametri!I$41+Parametri!I$33+Parametri!I$35)/100</f>
        <v>4.7716000000000001E-2</v>
      </c>
      <c r="Z19" s="160">
        <f>+(Parametri!J$36+Parametri!J$41+Parametri!J$33+Parametri!J$35)/100</f>
        <v>2.4728999999999998E-2</v>
      </c>
      <c r="AA19" s="160">
        <f>+(Parametri!K$36+Parametri!K$41+Parametri!K$33+Parametri!K$35)/100</f>
        <v>2.4728999999999998E-2</v>
      </c>
      <c r="AB19" s="159">
        <f t="shared" si="21"/>
        <v>37.351680000000002</v>
      </c>
      <c r="AC19" s="161" t="s">
        <v>87</v>
      </c>
    </row>
    <row r="20" spans="1:33">
      <c r="A20" s="157">
        <v>1400</v>
      </c>
      <c r="B20" s="158">
        <f t="shared" si="11"/>
        <v>3</v>
      </c>
      <c r="C20" s="159">
        <f t="shared" si="12"/>
        <v>120</v>
      </c>
      <c r="D20" s="159">
        <f t="shared" si="13"/>
        <v>360</v>
      </c>
      <c r="E20" s="159">
        <f t="shared" si="14"/>
        <v>920</v>
      </c>
      <c r="F20" s="159">
        <f t="shared" si="15"/>
        <v>0</v>
      </c>
      <c r="G20" s="159">
        <f t="shared" si="16"/>
        <v>0</v>
      </c>
      <c r="H20" s="159">
        <f t="shared" si="17"/>
        <v>0</v>
      </c>
      <c r="I20" s="159">
        <f t="shared" si="18"/>
        <v>0</v>
      </c>
      <c r="J20" s="159">
        <f t="shared" si="19"/>
        <v>0</v>
      </c>
      <c r="K20" s="160">
        <f>+(VLOOKUP($C$15,Parametri!$B$26:$K$31,Parametri!D$24,FALSE)+Parametri!D$40+Parametri!D$32)/100+ROUND(VLOOKUP($C$15,Parametri!$B$7:$D$12,3,FALSE)*Parametri!$C$3,6)</f>
        <v>0.11202000000000001</v>
      </c>
      <c r="L20" s="160">
        <f>+(VLOOKUP($C$15,Parametri!$B$26:$K$31,Parametri!E$24,FALSE)+Parametri!E$40+Parametri!E$32)/100+ROUND(VLOOKUP($C$15,Parametri!$B$7:$D$12,3,FALSE)*Parametri!$C$3,6)</f>
        <v>0.19138700000000003</v>
      </c>
      <c r="M20" s="160">
        <f>+(VLOOKUP($C$15,Parametri!$B$26:$K$31,Parametri!F$24,FALSE)+Parametri!F$40+Parametri!F$32)/100+ROUND(VLOOKUP($C$15,Parametri!$B$7:$D$12,3,FALSE)*Parametri!$C$3,6)</f>
        <v>0.18466300000000002</v>
      </c>
      <c r="N20" s="160">
        <f>+(VLOOKUP($C$15,Parametri!$B$26:$K$31,Parametri!G$24,FALSE)+Parametri!G$40+Parametri!G$32)/100+ROUND(VLOOKUP($C$15,Parametri!$B$7:$D$12,3,FALSE)*Parametri!$C$3,6)</f>
        <v>0.18496899999999999</v>
      </c>
      <c r="O20" s="160">
        <f>+(VLOOKUP($C$15,Parametri!$B$26:$K$31,Parametri!H$24,FALSE)+Parametri!H$40+Parametri!H$32)/100+ROUND(VLOOKUP($C$15,Parametri!$B$7:$D$12,3,FALSE)*Parametri!$C$3,6)</f>
        <v>0.16652800000000001</v>
      </c>
      <c r="P20" s="160">
        <f>+(VLOOKUP($C$15,Parametri!$B$26:$K$31,Parametri!I$24,FALSE)+Parametri!I$40+Parametri!I$32)/100+ROUND(VLOOKUP($C$15,Parametri!$B$7:$D$12,3,FALSE)*Parametri!$C$3,6)</f>
        <v>0.13963</v>
      </c>
      <c r="Q20" s="160">
        <f>+(VLOOKUP($C$15,Parametri!$B$26:$K$31,Parametri!J$24,FALSE)+Parametri!J$40+Parametri!J$32)/100+ROUND(VLOOKUP($C$15,Parametri!$B$7:$D$12,3,FALSE)*Parametri!$C$3,6)</f>
        <v>0.106958</v>
      </c>
      <c r="R20" s="160">
        <f>+(VLOOKUP($C$15,Parametri!$B$26:$K$31,Parametri!K$24,FALSE)+Parametri!K$40+Parametri!K$32)/100+ROUND(VLOOKUP($C$15,Parametri!$B$7:$D$12,3,FALSE)*Parametri!$C$3,6)</f>
        <v>9.7176999999999999E-2</v>
      </c>
      <c r="S20" s="159">
        <f t="shared" si="20"/>
        <v>252.23168000000004</v>
      </c>
      <c r="T20" s="160">
        <f>+(Parametri!D$36+Parametri!D$41+Parametri!D$33)/100</f>
        <v>3.6708999999999999E-2</v>
      </c>
      <c r="U20" s="160">
        <f>+(Parametri!E$36+Parametri!E$41+Parametri!E$33)/100</f>
        <v>8.6309000000000011E-2</v>
      </c>
      <c r="V20" s="160">
        <f>+(Parametri!F$36+Parametri!F$41+Parametri!F$33)/100</f>
        <v>6.6008999999999998E-2</v>
      </c>
      <c r="W20" s="160">
        <f>+(Parametri!G$36+Parametri!G$41+Parametri!G$33)/100</f>
        <v>6.0409000000000004E-2</v>
      </c>
      <c r="X20" s="160">
        <f>+(Parametri!H$36+Parametri!H$41+Parametri!H$33)/100</f>
        <v>5.3709000000000007E-2</v>
      </c>
      <c r="Y20" s="160">
        <f>+(Parametri!I$36+Parametri!I$41+Parametri!I$33)/100</f>
        <v>4.3809000000000008E-2</v>
      </c>
      <c r="Z20" s="160">
        <f>+(Parametri!J$36+Parametri!J$41+Parametri!J$33)/100</f>
        <v>2.2902999999999996E-2</v>
      </c>
      <c r="AA20" s="160">
        <f>+(Parametri!K$36+Parametri!K$41+Parametri!K$33)/100</f>
        <v>2.2902999999999996E-2</v>
      </c>
      <c r="AB20" s="159">
        <f t="shared" si="21"/>
        <v>96.204599999999999</v>
      </c>
      <c r="AC20" s="151" t="s">
        <v>86</v>
      </c>
      <c r="AG20" s="162"/>
    </row>
    <row r="21" spans="1:33">
      <c r="A21" s="157">
        <v>3000</v>
      </c>
      <c r="B21" s="158">
        <f t="shared" si="11"/>
        <v>4</v>
      </c>
      <c r="C21" s="159">
        <f t="shared" si="12"/>
        <v>120</v>
      </c>
      <c r="D21" s="159">
        <f t="shared" si="13"/>
        <v>360</v>
      </c>
      <c r="E21" s="159">
        <f t="shared" si="14"/>
        <v>1080</v>
      </c>
      <c r="F21" s="159">
        <f t="shared" si="15"/>
        <v>1440</v>
      </c>
      <c r="G21" s="159">
        <f t="shared" si="16"/>
        <v>0</v>
      </c>
      <c r="H21" s="159">
        <f t="shared" si="17"/>
        <v>0</v>
      </c>
      <c r="I21" s="159">
        <f t="shared" si="18"/>
        <v>0</v>
      </c>
      <c r="J21" s="159">
        <f t="shared" si="19"/>
        <v>0</v>
      </c>
      <c r="K21" s="160">
        <f>+(VLOOKUP($C$15,Parametri!$B$26:$K$31,Parametri!D$24,FALSE)+Parametri!D$40+Parametri!D$32)/100+ROUND(VLOOKUP($C$15,Parametri!$B$7:$D$12,3,FALSE)*Parametri!$C$3,6)</f>
        <v>0.11202000000000001</v>
      </c>
      <c r="L21" s="160">
        <f>+(VLOOKUP($C$15,Parametri!$B$26:$K$31,Parametri!E$24,FALSE)+Parametri!E$40+Parametri!E$32)/100+ROUND(VLOOKUP($C$15,Parametri!$B$7:$D$12,3,FALSE)*Parametri!$C$3,6)</f>
        <v>0.19138700000000003</v>
      </c>
      <c r="M21" s="160">
        <f>+(VLOOKUP($C$15,Parametri!$B$26:$K$31,Parametri!F$24,FALSE)+Parametri!F$40+Parametri!F$32)/100+ROUND(VLOOKUP($C$15,Parametri!$B$7:$D$12,3,FALSE)*Parametri!$C$3,6)</f>
        <v>0.18466300000000002</v>
      </c>
      <c r="N21" s="160">
        <f>+(VLOOKUP($C$15,Parametri!$B$26:$K$31,Parametri!G$24,FALSE)+Parametri!G$40+Parametri!G$32)/100+ROUND(VLOOKUP($C$15,Parametri!$B$7:$D$12,3,FALSE)*Parametri!$C$3,6)</f>
        <v>0.18496899999999999</v>
      </c>
      <c r="O21" s="160">
        <f>+(VLOOKUP($C$15,Parametri!$B$26:$K$31,Parametri!H$24,FALSE)+Parametri!H$40+Parametri!H$32)/100+ROUND(VLOOKUP($C$15,Parametri!$B$7:$D$12,3,FALSE)*Parametri!$C$3,6)</f>
        <v>0.16652800000000001</v>
      </c>
      <c r="P21" s="160">
        <f>+(VLOOKUP($C$15,Parametri!$B$26:$K$31,Parametri!I$24,FALSE)+Parametri!I$40+Parametri!I$32)/100+ROUND(VLOOKUP($C$15,Parametri!$B$7:$D$12,3,FALSE)*Parametri!$C$3,6)</f>
        <v>0.13963</v>
      </c>
      <c r="Q21" s="160">
        <f>+(VLOOKUP($C$15,Parametri!$B$26:$K$31,Parametri!J$24,FALSE)+Parametri!J$40+Parametri!J$32)/100+ROUND(VLOOKUP($C$15,Parametri!$B$7:$D$12,3,FALSE)*Parametri!$C$3,6)</f>
        <v>0.106958</v>
      </c>
      <c r="R21" s="160">
        <f>+(VLOOKUP($C$15,Parametri!$B$26:$K$31,Parametri!K$24,FALSE)+Parametri!K$40+Parametri!K$32)/100+ROUND(VLOOKUP($C$15,Parametri!$B$7:$D$12,3,FALSE)*Parametri!$C$3,6)</f>
        <v>9.7176999999999999E-2</v>
      </c>
      <c r="S21" s="159">
        <f t="shared" si="20"/>
        <v>548.13312000000008</v>
      </c>
      <c r="T21" s="160">
        <f>+(Parametri!D$36+Parametri!D$41+Parametri!D$33+Parametri!D$35)/100</f>
        <v>4.0616000000000006E-2</v>
      </c>
      <c r="U21" s="160">
        <f>+(Parametri!E$36+Parametri!E$41+Parametri!E$33+Parametri!E$35)/100</f>
        <v>9.0216000000000018E-2</v>
      </c>
      <c r="V21" s="160">
        <f>+(Parametri!F$36+Parametri!F$41+Parametri!F$33+Parametri!F$35)/100</f>
        <v>6.9916000000000006E-2</v>
      </c>
      <c r="W21" s="160">
        <f>+(Parametri!G$36+Parametri!G$41+Parametri!G$33+Parametri!G$35)/100</f>
        <v>6.4315999999999998E-2</v>
      </c>
      <c r="X21" s="160">
        <f>+(Parametri!H$36+Parametri!H$41+Parametri!H$33+Parametri!H$35)/100</f>
        <v>5.7616000000000007E-2</v>
      </c>
      <c r="Y21" s="160">
        <f>+(Parametri!I$36+Parametri!I$41+Parametri!I$33+Parametri!I$35)/100</f>
        <v>4.7716000000000001E-2</v>
      </c>
      <c r="Z21" s="160">
        <f>+(Parametri!J$36+Parametri!J$41+Parametri!J$33+Parametri!J$35)/100</f>
        <v>2.4728999999999998E-2</v>
      </c>
      <c r="AA21" s="160">
        <f>+(Parametri!K$36+Parametri!K$41+Parametri!K$33+Parametri!K$35)/100</f>
        <v>2.4728999999999998E-2</v>
      </c>
      <c r="AB21" s="159">
        <f t="shared" si="21"/>
        <v>205.476</v>
      </c>
      <c r="AC21" s="151" t="s">
        <v>88</v>
      </c>
      <c r="AG21" s="162"/>
    </row>
    <row r="22" spans="1:33">
      <c r="A22" s="157">
        <v>15000</v>
      </c>
      <c r="B22" s="158">
        <f t="shared" si="11"/>
        <v>5</v>
      </c>
      <c r="C22" s="159">
        <f t="shared" si="12"/>
        <v>120</v>
      </c>
      <c r="D22" s="159">
        <f t="shared" si="13"/>
        <v>360</v>
      </c>
      <c r="E22" s="159">
        <f t="shared" si="14"/>
        <v>1080</v>
      </c>
      <c r="F22" s="159">
        <f t="shared" si="15"/>
        <v>3440</v>
      </c>
      <c r="G22" s="159">
        <f t="shared" si="16"/>
        <v>10000</v>
      </c>
      <c r="H22" s="159">
        <f t="shared" si="17"/>
        <v>0</v>
      </c>
      <c r="I22" s="159">
        <f t="shared" si="18"/>
        <v>0</v>
      </c>
      <c r="J22" s="159">
        <f t="shared" si="19"/>
        <v>0</v>
      </c>
      <c r="K22" s="160">
        <f>+(VLOOKUP($C$15,Parametri!$B$26:$K$31,Parametri!D$24,FALSE)+Parametri!D$40+Parametri!D$32)/100+ROUND(VLOOKUP($C$15,Parametri!$B$7:$D$12,3,FALSE)*Parametri!$C$3,6)</f>
        <v>0.11202000000000001</v>
      </c>
      <c r="L22" s="160">
        <f>+(VLOOKUP($C$15,Parametri!$B$26:$K$31,Parametri!E$24,FALSE)+Parametri!E$40+Parametri!E$32)/100+ROUND(VLOOKUP($C$15,Parametri!$B$7:$D$12,3,FALSE)*Parametri!$C$3,6)</f>
        <v>0.19138700000000003</v>
      </c>
      <c r="M22" s="160">
        <f>+(VLOOKUP($C$15,Parametri!$B$26:$K$31,Parametri!F$24,FALSE)+Parametri!F$40+Parametri!F$32)/100+ROUND(VLOOKUP($C$15,Parametri!$B$7:$D$12,3,FALSE)*Parametri!$C$3,6)</f>
        <v>0.18466300000000002</v>
      </c>
      <c r="N22" s="160">
        <f>+(VLOOKUP($C$15,Parametri!$B$26:$K$31,Parametri!G$24,FALSE)+Parametri!G$40+Parametri!G$32)/100+ROUND(VLOOKUP($C$15,Parametri!$B$7:$D$12,3,FALSE)*Parametri!$C$3,6)</f>
        <v>0.18496899999999999</v>
      </c>
      <c r="O22" s="160">
        <f>+(VLOOKUP($C$15,Parametri!$B$26:$K$31,Parametri!H$24,FALSE)+Parametri!H$40+Parametri!H$32)/100+ROUND(VLOOKUP($C$15,Parametri!$B$7:$D$12,3,FALSE)*Parametri!$C$3,6)</f>
        <v>0.16652800000000001</v>
      </c>
      <c r="P22" s="160">
        <f>+(VLOOKUP($C$15,Parametri!$B$26:$K$31,Parametri!I$24,FALSE)+Parametri!I$40+Parametri!I$32)/100+ROUND(VLOOKUP($C$15,Parametri!$B$7:$D$12,3,FALSE)*Parametri!$C$3,6)</f>
        <v>0.13963</v>
      </c>
      <c r="Q22" s="160">
        <f>+(VLOOKUP($C$15,Parametri!$B$26:$K$31,Parametri!J$24,FALSE)+Parametri!J$40+Parametri!J$32)/100+ROUND(VLOOKUP($C$15,Parametri!$B$7:$D$12,3,FALSE)*Parametri!$C$3,6)</f>
        <v>0.106958</v>
      </c>
      <c r="R22" s="160">
        <f>+(VLOOKUP($C$15,Parametri!$B$26:$K$31,Parametri!K$24,FALSE)+Parametri!K$40+Parametri!K$32)/100+ROUND(VLOOKUP($C$15,Parametri!$B$7:$D$12,3,FALSE)*Parametri!$C$3,6)</f>
        <v>9.7176999999999999E-2</v>
      </c>
      <c r="S22" s="159">
        <f t="shared" si="20"/>
        <v>2583.3511200000003</v>
      </c>
      <c r="T22" s="160">
        <f>+(Parametri!D$36+Parametri!D$41+Parametri!D$33+Parametri!D$35)/100</f>
        <v>4.0616000000000006E-2</v>
      </c>
      <c r="U22" s="160">
        <f>+(Parametri!E$36+Parametri!E$41+Parametri!E$33+Parametri!E$35)/100</f>
        <v>9.0216000000000018E-2</v>
      </c>
      <c r="V22" s="160">
        <f>+(Parametri!F$36+Parametri!F$41+Parametri!F$33+Parametri!F$35)/100</f>
        <v>6.9916000000000006E-2</v>
      </c>
      <c r="W22" s="160">
        <f>+(Parametri!G$36+Parametri!G$41+Parametri!G$33+Parametri!G$35)/100</f>
        <v>6.4315999999999998E-2</v>
      </c>
      <c r="X22" s="160">
        <f>+(Parametri!H$36+Parametri!H$41+Parametri!H$33+Parametri!H$35)/100</f>
        <v>5.7616000000000007E-2</v>
      </c>
      <c r="Y22" s="160">
        <f>+(Parametri!I$36+Parametri!I$41+Parametri!I$33+Parametri!I$35)/100</f>
        <v>4.7716000000000001E-2</v>
      </c>
      <c r="Z22" s="160">
        <f>+(Parametri!J$36+Parametri!J$41+Parametri!J$33+Parametri!J$35)/100</f>
        <v>2.4728999999999998E-2</v>
      </c>
      <c r="AA22" s="160">
        <f>+(Parametri!K$36+Parametri!K$41+Parametri!K$33+Parametri!K$35)/100</f>
        <v>2.4728999999999998E-2</v>
      </c>
      <c r="AB22" s="159">
        <f t="shared" si="21"/>
        <v>910.26800000000003</v>
      </c>
      <c r="AC22" s="151" t="s">
        <v>89</v>
      </c>
      <c r="AG22" s="162"/>
    </row>
    <row r="23" spans="1:33">
      <c r="A23" s="157">
        <v>10000</v>
      </c>
      <c r="B23" s="158">
        <f t="shared" si="11"/>
        <v>5</v>
      </c>
      <c r="C23" s="159">
        <f t="shared" si="12"/>
        <v>120</v>
      </c>
      <c r="D23" s="159">
        <f t="shared" si="13"/>
        <v>360</v>
      </c>
      <c r="E23" s="159">
        <f t="shared" si="14"/>
        <v>1080</v>
      </c>
      <c r="F23" s="159">
        <f t="shared" si="15"/>
        <v>3440</v>
      </c>
      <c r="G23" s="159">
        <f t="shared" si="16"/>
        <v>5000</v>
      </c>
      <c r="H23" s="159">
        <f t="shared" si="17"/>
        <v>0</v>
      </c>
      <c r="I23" s="159">
        <f t="shared" si="18"/>
        <v>0</v>
      </c>
      <c r="J23" s="159">
        <f t="shared" si="19"/>
        <v>0</v>
      </c>
      <c r="K23" s="160">
        <f>+(VLOOKUP($C$15,Parametri!$B$26:$K$31,Parametri!D$24,FALSE)+Parametri!D$40+Parametri!D$32)/100+ROUND(VLOOKUP($C$15,Parametri!$B$7:$D$12,3,FALSE)*Parametri!$C$3,6)</f>
        <v>0.11202000000000001</v>
      </c>
      <c r="L23" s="160">
        <f>+(VLOOKUP($C$15,Parametri!$B$26:$K$31,Parametri!E$24,FALSE)+Parametri!E$40+Parametri!E$32)/100+ROUND(VLOOKUP($C$15,Parametri!$B$7:$D$12,3,FALSE)*Parametri!$C$3,6)</f>
        <v>0.19138700000000003</v>
      </c>
      <c r="M23" s="160">
        <f>+(VLOOKUP($C$15,Parametri!$B$26:$K$31,Parametri!F$24,FALSE)+Parametri!F$40+Parametri!F$32)/100+ROUND(VLOOKUP($C$15,Parametri!$B$7:$D$12,3,FALSE)*Parametri!$C$3,6)</f>
        <v>0.18466300000000002</v>
      </c>
      <c r="N23" s="160">
        <f>+(VLOOKUP($C$15,Parametri!$B$26:$K$31,Parametri!G$24,FALSE)+Parametri!G$40+Parametri!G$32)/100+ROUND(VLOOKUP($C$15,Parametri!$B$7:$D$12,3,FALSE)*Parametri!$C$3,6)</f>
        <v>0.18496899999999999</v>
      </c>
      <c r="O23" s="160">
        <f>+(VLOOKUP($C$15,Parametri!$B$26:$K$31,Parametri!H$24,FALSE)+Parametri!H$40+Parametri!H$32)/100+ROUND(VLOOKUP($C$15,Parametri!$B$7:$D$12,3,FALSE)*Parametri!$C$3,6)</f>
        <v>0.16652800000000001</v>
      </c>
      <c r="P23" s="160">
        <f>+(VLOOKUP($C$15,Parametri!$B$26:$K$31,Parametri!I$24,FALSE)+Parametri!I$40+Parametri!I$32)/100+ROUND(VLOOKUP($C$15,Parametri!$B$7:$D$12,3,FALSE)*Parametri!$C$3,6)</f>
        <v>0.13963</v>
      </c>
      <c r="Q23" s="160">
        <f>+(VLOOKUP($C$15,Parametri!$B$26:$K$31,Parametri!J$24,FALSE)+Parametri!J$40+Parametri!J$32)/100+ROUND(VLOOKUP($C$15,Parametri!$B$7:$D$12,3,FALSE)*Parametri!$C$3,6)</f>
        <v>0.106958</v>
      </c>
      <c r="R23" s="160">
        <f>+(VLOOKUP($C$15,Parametri!$B$26:$K$31,Parametri!K$24,FALSE)+Parametri!K$40+Parametri!K$32)/100+ROUND(VLOOKUP($C$15,Parametri!$B$7:$D$12,3,FALSE)*Parametri!$C$3,6)</f>
        <v>9.7176999999999999E-2</v>
      </c>
      <c r="S23" s="159">
        <f t="shared" si="20"/>
        <v>1750.7111200000002</v>
      </c>
      <c r="T23" s="160">
        <f>+(Parametri!D$36+Parametri!D$41+Parametri!D$33)/100</f>
        <v>3.6708999999999999E-2</v>
      </c>
      <c r="U23" s="160">
        <f>+(Parametri!E$36+Parametri!E$41+Parametri!E$33)/100</f>
        <v>8.6309000000000011E-2</v>
      </c>
      <c r="V23" s="160">
        <f>+(Parametri!F$36+Parametri!F$41+Parametri!F$33)/100</f>
        <v>6.6008999999999998E-2</v>
      </c>
      <c r="W23" s="160">
        <f>+(Parametri!G$36+Parametri!G$41+Parametri!G$33)/100</f>
        <v>6.0409000000000004E-2</v>
      </c>
      <c r="X23" s="160">
        <f>+(Parametri!H$36+Parametri!H$41+Parametri!H$33)/100</f>
        <v>5.3709000000000007E-2</v>
      </c>
      <c r="Y23" s="160">
        <f>+(Parametri!I$36+Parametri!I$41+Parametri!I$33)/100</f>
        <v>4.3809000000000008E-2</v>
      </c>
      <c r="Z23" s="160">
        <f>+(Parametri!J$36+Parametri!J$41+Parametri!J$33)/100</f>
        <v>2.2902999999999996E-2</v>
      </c>
      <c r="AA23" s="160">
        <f>+(Parametri!K$36+Parametri!K$41+Parametri!K$33)/100</f>
        <v>2.2902999999999996E-2</v>
      </c>
      <c r="AB23" s="159">
        <f t="shared" si="21"/>
        <v>583.11799999999994</v>
      </c>
      <c r="AC23" s="151" t="s">
        <v>90</v>
      </c>
      <c r="AG23" s="162"/>
    </row>
    <row r="24" spans="1:33">
      <c r="A24" s="157">
        <v>15000</v>
      </c>
      <c r="B24" s="158">
        <f>IF($A24&lt;=C$3,1,IF($A24&lt;=D$3,2,IF($A24&lt;=E$3,3,IF($A24&lt;=F$3,4,IF($A24&lt;=G$3,5,IF($A24&lt;=H$3,6,IF($A24&lt;=I$3,7,8)))))))</f>
        <v>5</v>
      </c>
      <c r="C24" s="159">
        <f>+IF(B24=1,A24,$C$3)</f>
        <v>120</v>
      </c>
      <c r="D24" s="159">
        <f>+IF(B24=1,0,IF(B24=2,A24-$C$3,$D$3-$C$3))</f>
        <v>360</v>
      </c>
      <c r="E24" s="159">
        <f>+IF(OR(B24=1,B24=2),0,IF(B24=3,A24-$D$3,$E$3-$D$3))</f>
        <v>1080</v>
      </c>
      <c r="F24" s="159">
        <f>+IF(OR(B24=1,B24=2,B24=3),0,IF(B24=4,A24-$E$3,$F$3-$E$3))</f>
        <v>3440</v>
      </c>
      <c r="G24" s="159">
        <f>+IF(OR(B24=1,B24=2,B24=3,B24=4),0,IF(B24=5,A24-$F$3,$G$3-$F$3))</f>
        <v>10000</v>
      </c>
      <c r="H24" s="159">
        <f>+IF(OR(B24=1,B24=2,B24=3,B24=4,B24=5),0,IF(B24=6,A24-$G$3,$H$3-$G$3))</f>
        <v>0</v>
      </c>
      <c r="I24" s="159">
        <f>+IF(OR(B24=1,B24=2,B24=3,B24=4,B24=5,B24=6),0,IF(B24=7,A24-$H$3,$I$3-$H$3))</f>
        <v>0</v>
      </c>
      <c r="J24" s="159">
        <f>+IF(OR(B24=1,B24=2,B24=3,B24=4,B24=5,B24=6,B24=7),0,IF(B24=8,A24-$H$3,"ERRORE"))</f>
        <v>0</v>
      </c>
      <c r="K24" s="160">
        <f>+(VLOOKUP($C$15,Parametri!$B$26:$K$31,Parametri!D$24,FALSE)+Parametri!D$40+Parametri!D$32)/100</f>
        <v>3.7624999999999999E-2</v>
      </c>
      <c r="L24" s="160">
        <f>+(VLOOKUP($C$15,Parametri!$B$26:$K$31,Parametri!E$24,FALSE)+Parametri!E$40+Parametri!E$32)/100</f>
        <v>0.11699200000000001</v>
      </c>
      <c r="M24" s="160">
        <f>+(VLOOKUP($C$15,Parametri!$B$26:$K$31,Parametri!F$24,FALSE)+Parametri!F$40+Parametri!F$32)/100</f>
        <v>0.11026800000000002</v>
      </c>
      <c r="N24" s="160">
        <f>+(VLOOKUP($C$15,Parametri!$B$26:$K$31,Parametri!G$24,FALSE)+Parametri!G$40+Parametri!G$32)/100</f>
        <v>0.11057400000000001</v>
      </c>
      <c r="O24" s="160">
        <f>+(VLOOKUP($C$15,Parametri!$B$26:$K$31,Parametri!H$24,FALSE)+Parametri!H$40+Parametri!H$32)/100</f>
        <v>9.2133000000000007E-2</v>
      </c>
      <c r="P24" s="160">
        <f>+(VLOOKUP($C$15,Parametri!$B$26:$K$31,Parametri!I$24,FALSE)+Parametri!I$40+Parametri!I$32)/100</f>
        <v>6.5235000000000001E-2</v>
      </c>
      <c r="Q24" s="160">
        <f>+(VLOOKUP($C$15,Parametri!$B$26:$K$31,Parametri!J$24,FALSE)+Parametri!J$40+Parametri!J$32)/100</f>
        <v>3.2563000000000002E-2</v>
      </c>
      <c r="R24" s="160">
        <f>+(VLOOKUP($C$15,Parametri!$B$26:$K$31,Parametri!K$24,FALSE)+Parametri!K$40+Parametri!K$32)/100</f>
        <v>2.2782E-2</v>
      </c>
      <c r="S24" s="159">
        <f>+SUMPRODUCT(K24:R24,C24:J24)</f>
        <v>1467.4261200000001</v>
      </c>
      <c r="T24" s="160">
        <f>+(Parametri!D$36+Parametri!D$41+Parametri!D$33+Parametri!D$35)/100</f>
        <v>4.0616000000000006E-2</v>
      </c>
      <c r="U24" s="160">
        <f>+(Parametri!E$36+Parametri!E$41+Parametri!E$33+Parametri!E$35)/100</f>
        <v>9.0216000000000018E-2</v>
      </c>
      <c r="V24" s="160">
        <f>+(Parametri!F$36+Parametri!F$41+Parametri!F$33+Parametri!F$35)/100</f>
        <v>6.9916000000000006E-2</v>
      </c>
      <c r="W24" s="160">
        <f>+(Parametri!G$36+Parametri!G$41+Parametri!G$33+Parametri!G$35)/100</f>
        <v>6.4315999999999998E-2</v>
      </c>
      <c r="X24" s="160">
        <f>+(Parametri!H$36+Parametri!H$41+Parametri!H$33+Parametri!H$35)/100</f>
        <v>5.7616000000000007E-2</v>
      </c>
      <c r="Y24" s="160">
        <f>+(Parametri!I$36+Parametri!I$41+Parametri!I$33+Parametri!I$35)/100</f>
        <v>4.7716000000000001E-2</v>
      </c>
      <c r="Z24" s="160">
        <f>+(Parametri!J$36+Parametri!J$41+Parametri!J$33+Parametri!J$35)/100</f>
        <v>2.4728999999999998E-2</v>
      </c>
      <c r="AA24" s="160">
        <f>+(Parametri!K$36+Parametri!K$41+Parametri!K$33+Parametri!K$35)/100</f>
        <v>2.4728999999999998E-2</v>
      </c>
      <c r="AB24" s="159">
        <f>+SUMPRODUCT(T24:AA24,C24:J24)</f>
        <v>910.26800000000003</v>
      </c>
      <c r="AC24" s="161" t="s">
        <v>91</v>
      </c>
      <c r="AG24" s="162"/>
    </row>
    <row r="25" spans="1:33" customFormat="1" ht="12" customHeight="1">
      <c r="A25" s="157">
        <v>70000</v>
      </c>
      <c r="B25" s="158">
        <f>IF($A25&lt;=C$3,1,IF($A25&lt;=D$3,2,IF($A25&lt;=E$3,3,IF($A25&lt;=F$3,4,IF($A25&lt;=G$3,5,IF($A25&lt;=H$3,6,IF($A25&lt;=I$3,7,8)))))))</f>
        <v>5</v>
      </c>
      <c r="C25" s="159">
        <f>+IF(B25=1,A25,$C$3)</f>
        <v>120</v>
      </c>
      <c r="D25" s="159">
        <f>+IF(B25=1,0,IF(B25=2,A25-$C$3,$D$3-$C$3))</f>
        <v>360</v>
      </c>
      <c r="E25" s="159">
        <f>+IF(OR(B25=1,B25=2),0,IF(B25=3,A25-$D$3,$E$3-$D$3))</f>
        <v>1080</v>
      </c>
      <c r="F25" s="159">
        <f>+IF(OR(B25=1,B25=2,B25=3),0,IF(B25=4,A25-$E$3,$F$3-$E$3))</f>
        <v>3440</v>
      </c>
      <c r="G25" s="159">
        <f>+IF(OR(B25=1,B25=2,B25=3,B25=4),0,IF(B25=5,A25-$F$3,$G$3-$F$3))</f>
        <v>65000</v>
      </c>
      <c r="H25" s="159">
        <f>+IF(OR(B25=1,B25=2,B25=3,B25=4,B25=5),0,IF(B25=6,A25-$G$3,$H$3-$G$3))</f>
        <v>0</v>
      </c>
      <c r="I25" s="159">
        <f>+IF(OR(B25=1,B25=2,B25=3,B25=4,B25=5,B25=6),0,IF(B25=7,A25-$H$3,$I$3-$H$3))</f>
        <v>0</v>
      </c>
      <c r="J25" s="159">
        <f>+IF(OR(B25=1,B25=2,B25=3,B25=4,B25=5,B25=6,B25=7),0,IF(B25=8,A25-$H$3,"ERRORE"))</f>
        <v>0</v>
      </c>
      <c r="K25" s="160">
        <f>+(VLOOKUP($C$15,Parametri!$B$26:$K$31,Parametri!D$24,FALSE)+Parametri!D$40+Parametri!D$32)/100+ROUND(VLOOKUP($C$15,Parametri!$B$7:$D$12,3,FALSE)*Parametri!$C$3,6)</f>
        <v>0.11202000000000001</v>
      </c>
      <c r="L25" s="160">
        <f>+(VLOOKUP($C$15,Parametri!$B$26:$K$31,Parametri!E$24,FALSE)+Parametri!E$40+Parametri!E$32)/100+ROUND(VLOOKUP($C$15,Parametri!$B$7:$D$12,3,FALSE)*Parametri!$C$3,6)</f>
        <v>0.19138700000000003</v>
      </c>
      <c r="M25" s="160">
        <f>+(VLOOKUP($C$15,Parametri!$B$26:$K$31,Parametri!F$24,FALSE)+Parametri!F$40+Parametri!F$32)/100+ROUND(VLOOKUP($C$15,Parametri!$B$7:$D$12,3,FALSE)*Parametri!$C$3,6)</f>
        <v>0.18466300000000002</v>
      </c>
      <c r="N25" s="160">
        <f>+(VLOOKUP($C$15,Parametri!$B$26:$K$31,Parametri!G$24,FALSE)+Parametri!G$40+Parametri!G$32)/100+ROUND(VLOOKUP($C$15,Parametri!$B$7:$D$12,3,FALSE)*Parametri!$C$3,6)</f>
        <v>0.18496899999999999</v>
      </c>
      <c r="O25" s="160">
        <f>+(VLOOKUP($C$15,Parametri!$B$26:$K$31,Parametri!H$24,FALSE)+Parametri!H$40+Parametri!H$32)/100+ROUND(VLOOKUP($C$15,Parametri!$B$7:$D$12,3,FALSE)*Parametri!$C$3,6)</f>
        <v>0.16652800000000001</v>
      </c>
      <c r="P25" s="160">
        <f>+(VLOOKUP($C$15,Parametri!$B$26:$K$31,Parametri!I$24,FALSE)+Parametri!I$40+Parametri!I$32)/100+ROUND(VLOOKUP($C$15,Parametri!$B$7:$D$12,3,FALSE)*Parametri!$C$3,6)</f>
        <v>0.13963</v>
      </c>
      <c r="Q25" s="160">
        <f>+(VLOOKUP($C$15,Parametri!$B$26:$K$31,Parametri!J$24,FALSE)+Parametri!J$40+Parametri!J$32)/100+ROUND(VLOOKUP($C$15,Parametri!$B$7:$D$12,3,FALSE)*Parametri!$C$3,6)</f>
        <v>0.106958</v>
      </c>
      <c r="R25" s="160">
        <f>+(VLOOKUP($C$15,Parametri!$B$26:$K$31,Parametri!K$24,FALSE)+Parametri!K$40+Parametri!K$32)/100+ROUND(VLOOKUP($C$15,Parametri!$B$7:$D$12,3,FALSE)*Parametri!$C$3,6)</f>
        <v>9.7176999999999999E-2</v>
      </c>
      <c r="S25" s="159">
        <f>+SUMPRODUCT(K25:R25,C25:J25)</f>
        <v>11742.39112</v>
      </c>
      <c r="T25" s="160">
        <f>+(Parametri!D$36+Parametri!D$41+Parametri!D$33)/100</f>
        <v>3.6708999999999999E-2</v>
      </c>
      <c r="U25" s="160">
        <f>+(Parametri!E$36+Parametri!E$41+Parametri!E$33)/100</f>
        <v>8.6309000000000011E-2</v>
      </c>
      <c r="V25" s="160">
        <f>+(Parametri!F$36+Parametri!F$41+Parametri!F$33)/100</f>
        <v>6.6008999999999998E-2</v>
      </c>
      <c r="W25" s="160">
        <f>+(Parametri!G$36+Parametri!G$41+Parametri!G$33)/100</f>
        <v>6.0409000000000004E-2</v>
      </c>
      <c r="X25" s="160">
        <f>+(Parametri!H$36+Parametri!H$41+Parametri!H$33)/100</f>
        <v>5.3709000000000007E-2</v>
      </c>
      <c r="Y25" s="160">
        <f>+(Parametri!I$36+Parametri!I$41+Parametri!I$33)/100</f>
        <v>4.3809000000000008E-2</v>
      </c>
      <c r="Z25" s="160">
        <f>+(Parametri!J$36+Parametri!J$41+Parametri!J$33)/100</f>
        <v>2.2902999999999996E-2</v>
      </c>
      <c r="AA25" s="160">
        <f>+(Parametri!K$36+Parametri!K$41+Parametri!K$33)/100</f>
        <v>2.2902999999999996E-2</v>
      </c>
      <c r="AB25" s="159">
        <f>+SUMPRODUCT(T25:AA25,C25:J25)</f>
        <v>3805.6580000000004</v>
      </c>
      <c r="AC25" s="180" t="s">
        <v>92</v>
      </c>
      <c r="AG25" s="181"/>
    </row>
    <row r="26" spans="1:33" customFormat="1" ht="12" customHeight="1">
      <c r="A26" s="157">
        <v>200000</v>
      </c>
      <c r="B26" s="158">
        <f>IF($A26&lt;=C$3,1,IF($A26&lt;=D$3,2,IF($A26&lt;=E$3,3,IF($A26&lt;=F$3,4,IF($A26&lt;=G$3,5,IF($A26&lt;=H$3,6,IF($A26&lt;=I$3,7,8)))))))</f>
        <v>6</v>
      </c>
      <c r="C26" s="159">
        <f>+IF(B26=1,A26,$C$3)</f>
        <v>120</v>
      </c>
      <c r="D26" s="159">
        <f>+IF(B26=1,0,IF(B26=2,A26-$C$3,$D$3-$C$3))</f>
        <v>360</v>
      </c>
      <c r="E26" s="159">
        <f>+IF(OR(B26=1,B26=2),0,IF(B26=3,A26-$D$3,$E$3-$D$3))</f>
        <v>1080</v>
      </c>
      <c r="F26" s="159">
        <f>+IF(OR(B26=1,B26=2,B26=3),0,IF(B26=4,A26-$E$3,$F$3-$E$3))</f>
        <v>3440</v>
      </c>
      <c r="G26" s="159">
        <f>+IF(OR(B26=1,B26=2,B26=3,B26=4),0,IF(B26=5,A26-$F$3,$G$3-$F$3))</f>
        <v>75000</v>
      </c>
      <c r="H26" s="159">
        <f>+IF(OR(B26=1,B26=2,B26=3,B26=4,B26=5),0,IF(B26=6,A26-$G$3,$H$3-$G$3))</f>
        <v>120000</v>
      </c>
      <c r="I26" s="159">
        <f>+IF(OR(B26=1,B26=2,B26=3,B26=4,B26=5,B26=6),0,IF(B26=7,A26-$H$3,$I$3-$H$3))</f>
        <v>0</v>
      </c>
      <c r="J26" s="159">
        <f>+IF(OR(B26=1,B26=2,B26=3,B26=4,B26=5,B26=6,B26=7),0,IF(B26=8,A26-$H$3,"ERRORE"))</f>
        <v>0</v>
      </c>
      <c r="K26" s="160">
        <f>+(VLOOKUP($C$15,Parametri!$B$26:$K$31,Parametri!D$24,FALSE)+Parametri!D$40+Parametri!D$32)/100+ROUND(VLOOKUP($C$15,Parametri!$B$7:$D$12,3,FALSE)*Parametri!$C$3,6)</f>
        <v>0.11202000000000001</v>
      </c>
      <c r="L26" s="160">
        <f>+(VLOOKUP($C$15,Parametri!$B$26:$K$31,Parametri!E$24,FALSE)+Parametri!E$40+Parametri!E$32)/100+ROUND(VLOOKUP($C$15,Parametri!$B$7:$D$12,3,FALSE)*Parametri!$C$3,6)</f>
        <v>0.19138700000000003</v>
      </c>
      <c r="M26" s="160">
        <f>+(VLOOKUP($C$15,Parametri!$B$26:$K$31,Parametri!F$24,FALSE)+Parametri!F$40+Parametri!F$32)/100+ROUND(VLOOKUP($C$15,Parametri!$B$7:$D$12,3,FALSE)*Parametri!$C$3,6)</f>
        <v>0.18466300000000002</v>
      </c>
      <c r="N26" s="160">
        <f>+(VLOOKUP($C$15,Parametri!$B$26:$K$31,Parametri!G$24,FALSE)+Parametri!G$40+Parametri!G$32)/100+ROUND(VLOOKUP($C$15,Parametri!$B$7:$D$12,3,FALSE)*Parametri!$C$3,6)</f>
        <v>0.18496899999999999</v>
      </c>
      <c r="O26" s="160">
        <f>+(VLOOKUP($C$15,Parametri!$B$26:$K$31,Parametri!H$24,FALSE)+Parametri!H$40+Parametri!H$32)/100+ROUND(VLOOKUP($C$15,Parametri!$B$7:$D$12,3,FALSE)*Parametri!$C$3,6)</f>
        <v>0.16652800000000001</v>
      </c>
      <c r="P26" s="160">
        <f>+(VLOOKUP($C$15,Parametri!$B$26:$K$31,Parametri!I$24,FALSE)+Parametri!I$40+Parametri!I$32)/100+ROUND(VLOOKUP($C$15,Parametri!$B$7:$D$12,3,FALSE)*Parametri!$C$3,6)</f>
        <v>0.13963</v>
      </c>
      <c r="Q26" s="160">
        <f>+(VLOOKUP($C$15,Parametri!$B$26:$K$31,Parametri!J$24,FALSE)+Parametri!J$40+Parametri!J$32)/100+ROUND(VLOOKUP($C$15,Parametri!$B$7:$D$12,3,FALSE)*Parametri!$C$3,6)</f>
        <v>0.106958</v>
      </c>
      <c r="R26" s="160">
        <f>+(VLOOKUP($C$15,Parametri!$B$26:$K$31,Parametri!K$24,FALSE)+Parametri!K$40+Parametri!K$32)/100+ROUND(VLOOKUP($C$15,Parametri!$B$7:$D$12,3,FALSE)*Parametri!$C$3,6)</f>
        <v>9.7176999999999999E-2</v>
      </c>
      <c r="S26" s="159">
        <f>+SUMPRODUCT(K26:R26,C26:J26)</f>
        <v>30163.271120000005</v>
      </c>
      <c r="T26" s="160">
        <f>+(Parametri!D$36+Parametri!D$41+Parametri!D$33)/100</f>
        <v>3.6708999999999999E-2</v>
      </c>
      <c r="U26" s="160">
        <f>+(Parametri!E$36+Parametri!E$41+Parametri!E$33)/100</f>
        <v>8.6309000000000011E-2</v>
      </c>
      <c r="V26" s="160">
        <f>+(Parametri!F$36+Parametri!F$41+Parametri!F$33)/100</f>
        <v>6.6008999999999998E-2</v>
      </c>
      <c r="W26" s="160">
        <f>+(Parametri!G$36+Parametri!G$41+Parametri!G$33)/100</f>
        <v>6.0409000000000004E-2</v>
      </c>
      <c r="X26" s="160">
        <f>+(Parametri!H$36+Parametri!H$41+Parametri!H$33)/100</f>
        <v>5.3709000000000007E-2</v>
      </c>
      <c r="Y26" s="160">
        <f>+(Parametri!I$36+Parametri!I$41+Parametri!I$33)/100</f>
        <v>4.3809000000000008E-2</v>
      </c>
      <c r="Z26" s="160">
        <f>+(Parametri!J$36+Parametri!J$41+Parametri!J$33)/100</f>
        <v>2.2902999999999996E-2</v>
      </c>
      <c r="AA26" s="160">
        <f>+(Parametri!K$36+Parametri!K$41+Parametri!K$33)/100</f>
        <v>2.2902999999999996E-2</v>
      </c>
      <c r="AB26" s="159">
        <f>+SUMPRODUCT(T26:AA26,C26:J26)</f>
        <v>9599.8280000000013</v>
      </c>
      <c r="AC26" s="180" t="s">
        <v>93</v>
      </c>
      <c r="AG26" s="181"/>
    </row>
    <row r="28" spans="1:33"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</row>
    <row r="29" spans="1:33">
      <c r="A29" s="146" t="s">
        <v>69</v>
      </c>
      <c r="B29" s="147"/>
      <c r="C29" s="148" t="s">
        <v>10</v>
      </c>
      <c r="D29" s="148"/>
      <c r="E29" s="149"/>
      <c r="F29" s="147"/>
      <c r="G29" s="147"/>
      <c r="H29" s="147"/>
      <c r="I29" s="147"/>
      <c r="J29" s="147"/>
      <c r="K29" s="150" t="s">
        <v>70</v>
      </c>
      <c r="L29" s="150" t="s">
        <v>71</v>
      </c>
      <c r="M29" s="150" t="s">
        <v>72</v>
      </c>
      <c r="N29" s="150" t="s">
        <v>73</v>
      </c>
      <c r="O29" s="150" t="s">
        <v>74</v>
      </c>
      <c r="P29" s="150" t="s">
        <v>75</v>
      </c>
      <c r="Q29" s="150" t="s">
        <v>76</v>
      </c>
      <c r="R29" s="150" t="s">
        <v>77</v>
      </c>
      <c r="S29" s="150" t="s">
        <v>78</v>
      </c>
      <c r="T29" s="150" t="s">
        <v>70</v>
      </c>
      <c r="U29" s="150" t="s">
        <v>71</v>
      </c>
      <c r="V29" s="150" t="s">
        <v>72</v>
      </c>
      <c r="W29" s="150" t="s">
        <v>73</v>
      </c>
      <c r="X29" s="150" t="s">
        <v>74</v>
      </c>
      <c r="Y29" s="150" t="s">
        <v>75</v>
      </c>
      <c r="Z29" s="150" t="s">
        <v>76</v>
      </c>
      <c r="AA29" s="150" t="s">
        <v>77</v>
      </c>
      <c r="AB29" s="150" t="s">
        <v>78</v>
      </c>
    </row>
    <row r="30" spans="1:33" ht="25.5">
      <c r="A30" s="328" t="s">
        <v>79</v>
      </c>
      <c r="B30" s="152" t="s">
        <v>80</v>
      </c>
      <c r="C30" s="153">
        <v>0</v>
      </c>
      <c r="D30" s="153">
        <v>121</v>
      </c>
      <c r="E30" s="153">
        <v>481</v>
      </c>
      <c r="F30" s="153">
        <v>1561</v>
      </c>
      <c r="G30" s="153">
        <v>5001</v>
      </c>
      <c r="H30" s="153">
        <v>80001</v>
      </c>
      <c r="I30" s="153">
        <v>200000</v>
      </c>
      <c r="J30" s="153">
        <v>1000000</v>
      </c>
      <c r="K30" s="152" t="s">
        <v>81</v>
      </c>
      <c r="L30" s="152" t="s">
        <v>81</v>
      </c>
      <c r="M30" s="152" t="s">
        <v>81</v>
      </c>
      <c r="N30" s="152" t="s">
        <v>81</v>
      </c>
      <c r="O30" s="152" t="s">
        <v>81</v>
      </c>
      <c r="P30" s="152" t="s">
        <v>81</v>
      </c>
      <c r="Q30" s="152" t="s">
        <v>81</v>
      </c>
      <c r="R30" s="152" t="s">
        <v>81</v>
      </c>
      <c r="S30" s="152" t="s">
        <v>81</v>
      </c>
      <c r="T30" s="152" t="s">
        <v>82</v>
      </c>
      <c r="U30" s="152" t="s">
        <v>82</v>
      </c>
      <c r="V30" s="152" t="s">
        <v>82</v>
      </c>
      <c r="W30" s="152" t="s">
        <v>82</v>
      </c>
      <c r="X30" s="152" t="s">
        <v>82</v>
      </c>
      <c r="Y30" s="152" t="s">
        <v>82</v>
      </c>
      <c r="Z30" s="152" t="s">
        <v>82</v>
      </c>
      <c r="AA30" s="152" t="s">
        <v>82</v>
      </c>
      <c r="AB30" s="152" t="s">
        <v>82</v>
      </c>
    </row>
    <row r="31" spans="1:33" ht="38.25">
      <c r="A31" s="329"/>
      <c r="B31" s="154"/>
      <c r="C31" s="155">
        <v>120</v>
      </c>
      <c r="D31" s="155">
        <v>480</v>
      </c>
      <c r="E31" s="155">
        <v>1560</v>
      </c>
      <c r="F31" s="155">
        <v>5000</v>
      </c>
      <c r="G31" s="155">
        <v>80000</v>
      </c>
      <c r="H31" s="155">
        <v>200000</v>
      </c>
      <c r="I31" s="155">
        <v>1000000</v>
      </c>
      <c r="J31" s="155" t="s">
        <v>83</v>
      </c>
      <c r="K31" s="156" t="s">
        <v>84</v>
      </c>
      <c r="L31" s="156" t="s">
        <v>84</v>
      </c>
      <c r="M31" s="156" t="s">
        <v>84</v>
      </c>
      <c r="N31" s="156" t="s">
        <v>84</v>
      </c>
      <c r="O31" s="156" t="s">
        <v>84</v>
      </c>
      <c r="P31" s="156" t="s">
        <v>84</v>
      </c>
      <c r="Q31" s="156" t="s">
        <v>84</v>
      </c>
      <c r="R31" s="156" t="s">
        <v>84</v>
      </c>
      <c r="S31" s="156" t="s">
        <v>84</v>
      </c>
      <c r="T31" s="156" t="s">
        <v>85</v>
      </c>
      <c r="U31" s="156" t="s">
        <v>85</v>
      </c>
      <c r="V31" s="156" t="s">
        <v>85</v>
      </c>
      <c r="W31" s="156" t="s">
        <v>85</v>
      </c>
      <c r="X31" s="156" t="s">
        <v>85</v>
      </c>
      <c r="Y31" s="156" t="s">
        <v>85</v>
      </c>
      <c r="Z31" s="156" t="s">
        <v>85</v>
      </c>
      <c r="AA31" s="156" t="s">
        <v>85</v>
      </c>
      <c r="AB31" s="156" t="s">
        <v>85</v>
      </c>
    </row>
    <row r="32" spans="1:33">
      <c r="A32" s="163">
        <v>480</v>
      </c>
      <c r="B32" s="164">
        <f t="shared" ref="B32:B39" si="22">IF($A32&lt;=C$31,1,IF($A32&lt;=D$31,2,IF($A32&lt;=E$31,3,IF($A32&lt;=F$31,4,IF($A32&lt;=G$31,5,IF($A32&lt;=H$31,6,IF($A32&lt;=I$31,7,8)))))))</f>
        <v>2</v>
      </c>
      <c r="C32" s="165">
        <f t="shared" ref="C32:C39" si="23">+IF(B32=1,A32,$C$31)</f>
        <v>120</v>
      </c>
      <c r="D32" s="165">
        <f t="shared" ref="D32:D39" si="24">+IF(B32=1,0,IF(B32=2,A32-$C$31,$D$31-$C$31))</f>
        <v>360</v>
      </c>
      <c r="E32" s="165">
        <f t="shared" ref="E32:E37" si="25">+IF(OR(B32=1,B32=2),0,IF(B32=3,A32-$D$31,$E$31-$D$31))</f>
        <v>0</v>
      </c>
      <c r="F32" s="165">
        <f t="shared" ref="F32:F37" si="26">+IF(OR(B32=1,B32=2,B32=3),0,IF(B32=4,A32-$E$31,$F$31-$E$31))</f>
        <v>0</v>
      </c>
      <c r="G32" s="165">
        <f t="shared" ref="G32:G37" si="27">+IF(OR(B32=1,B32=2,B32=3,B32=4),0,IF(B32=5,A32-$F$31,$G$31-$F$31))</f>
        <v>0</v>
      </c>
      <c r="H32" s="165">
        <f t="shared" ref="H32:H37" si="28">+IF(OR(B32=1,B32=2,B32=3,B32=4,B32=5),0,IF(B32=6,A32-$G$31,$H$31-$G$31))</f>
        <v>0</v>
      </c>
      <c r="I32" s="165">
        <f t="shared" ref="I32:I37" si="29">+IF(OR(B32=1,B32=2,B32=3,B32=4,B32=5,B32=6),0,IF(B32=7,A32-$H$31,$I$31-$H$31))</f>
        <v>0</v>
      </c>
      <c r="J32" s="165">
        <f t="shared" ref="J32:J37" si="30">+IF(OR(B32=1,B32=2,B32=3,B32=4,B32=5,B32=6,B32=7),0,IF(B32=8,A32-$H$31,"ERRORE"))</f>
        <v>0</v>
      </c>
      <c r="K32" s="160">
        <f>+(VLOOKUP($C$29,Parametri!$B$26:$K$31,Parametri!D$24,FALSE)+Parametri!D$40+Parametri!D$32)/100+ROUND(VLOOKUP($C$29,Parametri!$B$7:$D$12,3,FALSE)*Parametri!$C$3,6)</f>
        <v>0.11202000000000001</v>
      </c>
      <c r="L32" s="160">
        <f>+(VLOOKUP($C$29,Parametri!$B$26:$K$31,Parametri!E$24,FALSE)+Parametri!E$40+Parametri!E$32)/100+ROUND(VLOOKUP($C$29,Parametri!$B$7:$D$12,3,FALSE)*Parametri!$C$3,6)</f>
        <v>0.244537</v>
      </c>
      <c r="M32" s="160">
        <f>+(VLOOKUP($C$29,Parametri!$B$26:$K$31,Parametri!F$24,FALSE)+Parametri!F$40+Parametri!F$32)/100+ROUND(VLOOKUP($C$29,Parametri!$B$7:$D$12,3,FALSE)*Parametri!$C$3,6)</f>
        <v>0.23331000000000002</v>
      </c>
      <c r="N32" s="160">
        <f>+(VLOOKUP($C$29,Parametri!$B$26:$K$31,Parametri!G$24,FALSE)+Parametri!G$40+Parametri!G$32)/100+ROUND(VLOOKUP($C$29,Parametri!$B$7:$D$12,3,FALSE)*Parametri!$C$3,6)</f>
        <v>0.23381999999999997</v>
      </c>
      <c r="O32" s="160">
        <f>+(VLOOKUP($C$29,Parametri!$B$26:$K$31,Parametri!H$24,FALSE)+Parametri!H$40+Parametri!H$32)/100+ROUND(VLOOKUP($C$29,Parametri!$B$7:$D$12,3,FALSE)*Parametri!$C$3,6)</f>
        <v>0.20303000000000004</v>
      </c>
      <c r="P32" s="160">
        <f>+(VLOOKUP($C$29,Parametri!$B$26:$K$31,Parametri!I$24,FALSE)+Parametri!I$40+Parametri!I$32)/100+ROUND(VLOOKUP($C$29,Parametri!$B$7:$D$12,3,FALSE)*Parametri!$C$3,6)</f>
        <v>0.15812000000000001</v>
      </c>
      <c r="Q32" s="160">
        <f>+(VLOOKUP($C$29,Parametri!$B$26:$K$31,Parametri!J$24,FALSE)+Parametri!J$40+Parametri!J$32)/100+ROUND(VLOOKUP($C$29,Parametri!$B$7:$D$12,3,FALSE)*Parametri!$C$3,6)</f>
        <v>0.11603200000000001</v>
      </c>
      <c r="R32" s="160">
        <f>+(VLOOKUP($C$29,Parametri!$B$26:$K$31,Parametri!K$24,FALSE)+Parametri!K$40+Parametri!K$32)/100+ROUND(VLOOKUP($C$29,Parametri!$B$7:$D$12,3,FALSE)*Parametri!$C$3,6)</f>
        <v>9.9700999999999998E-2</v>
      </c>
      <c r="S32" s="159">
        <f t="shared" ref="S32:S37" si="31">+SUMPRODUCT(K32:R32,C32:J32)</f>
        <v>101.47572000000001</v>
      </c>
      <c r="T32" s="160">
        <f>+(Parametri!D$36+Parametri!D$41+Parametri!D$33)/100</f>
        <v>3.6708999999999999E-2</v>
      </c>
      <c r="U32" s="160">
        <f>+(Parametri!E$36+Parametri!E$41+Parametri!E$33)/100</f>
        <v>8.6309000000000011E-2</v>
      </c>
      <c r="V32" s="160">
        <f>+(Parametri!F$36+Parametri!F$41+Parametri!F$33)/100</f>
        <v>6.6008999999999998E-2</v>
      </c>
      <c r="W32" s="160">
        <f>+(Parametri!G$36+Parametri!G$41+Parametri!G$33)/100</f>
        <v>6.0409000000000004E-2</v>
      </c>
      <c r="X32" s="160">
        <f>+(Parametri!H$36+Parametri!H$41+Parametri!H$33)/100</f>
        <v>5.3709000000000007E-2</v>
      </c>
      <c r="Y32" s="160">
        <f>+(Parametri!I$36+Parametri!I$41+Parametri!I$33)/100</f>
        <v>4.3809000000000008E-2</v>
      </c>
      <c r="Z32" s="160">
        <f>+(Parametri!J$36+Parametri!J$41+Parametri!J$33)/100</f>
        <v>2.2902999999999996E-2</v>
      </c>
      <c r="AA32" s="160">
        <f>+(Parametri!K$36+Parametri!K$41+Parametri!K$33)/100</f>
        <v>2.2902999999999996E-2</v>
      </c>
      <c r="AB32" s="159">
        <f t="shared" ref="AB32:AB37" si="32">+SUMPRODUCT(T32:AA32,C32:J32)</f>
        <v>35.476320000000001</v>
      </c>
      <c r="AC32" s="151" t="s">
        <v>86</v>
      </c>
    </row>
    <row r="33" spans="1:29">
      <c r="A33" s="163">
        <v>480</v>
      </c>
      <c r="B33" s="164">
        <f t="shared" si="22"/>
        <v>2</v>
      </c>
      <c r="C33" s="165">
        <f t="shared" si="23"/>
        <v>120</v>
      </c>
      <c r="D33" s="165">
        <f t="shared" si="24"/>
        <v>360</v>
      </c>
      <c r="E33" s="165">
        <f t="shared" si="25"/>
        <v>0</v>
      </c>
      <c r="F33" s="165">
        <f t="shared" si="26"/>
        <v>0</v>
      </c>
      <c r="G33" s="165">
        <f t="shared" si="27"/>
        <v>0</v>
      </c>
      <c r="H33" s="165">
        <f t="shared" si="28"/>
        <v>0</v>
      </c>
      <c r="I33" s="165">
        <f t="shared" si="29"/>
        <v>0</v>
      </c>
      <c r="J33" s="165">
        <f t="shared" si="30"/>
        <v>0</v>
      </c>
      <c r="K33" s="160">
        <f>+(VLOOKUP($C$29,Parametri!$B$26:$K$31,Parametri!D$24,FALSE)+Parametri!D$40+Parametri!D$32)/100+ROUND(VLOOKUP($C$29,Parametri!$B$7:$D$12,3,FALSE)*Parametri!$C$3,6)</f>
        <v>0.11202000000000001</v>
      </c>
      <c r="L33" s="160">
        <f>+(VLOOKUP($C$29,Parametri!$B$26:$K$31,Parametri!E$24,FALSE)+Parametri!E$40+Parametri!E$32)/100+ROUND(VLOOKUP($C$29,Parametri!$B$7:$D$12,3,FALSE)*Parametri!$C$3,6)</f>
        <v>0.244537</v>
      </c>
      <c r="M33" s="160">
        <f>+(VLOOKUP($C$29,Parametri!$B$26:$K$31,Parametri!F$24,FALSE)+Parametri!F$40+Parametri!F$32)/100+ROUND(VLOOKUP($C$29,Parametri!$B$7:$D$12,3,FALSE)*Parametri!$C$3,6)</f>
        <v>0.23331000000000002</v>
      </c>
      <c r="N33" s="160">
        <f>+(VLOOKUP($C$29,Parametri!$B$26:$K$31,Parametri!G$24,FALSE)+Parametri!G$40+Parametri!G$32)/100+ROUND(VLOOKUP($C$29,Parametri!$B$7:$D$12,3,FALSE)*Parametri!$C$3,6)</f>
        <v>0.23381999999999997</v>
      </c>
      <c r="O33" s="160">
        <f>+(VLOOKUP($C$29,Parametri!$B$26:$K$31,Parametri!H$24,FALSE)+Parametri!H$40+Parametri!H$32)/100+ROUND(VLOOKUP($C$29,Parametri!$B$7:$D$12,3,FALSE)*Parametri!$C$3,6)</f>
        <v>0.20303000000000004</v>
      </c>
      <c r="P33" s="160">
        <f>+(VLOOKUP($C$29,Parametri!$B$26:$K$31,Parametri!I$24,FALSE)+Parametri!I$40+Parametri!I$32)/100+ROUND(VLOOKUP($C$29,Parametri!$B$7:$D$12,3,FALSE)*Parametri!$C$3,6)</f>
        <v>0.15812000000000001</v>
      </c>
      <c r="Q33" s="160">
        <f>+(VLOOKUP($C$29,Parametri!$B$26:$K$31,Parametri!J$24,FALSE)+Parametri!J$40+Parametri!J$32)/100+ROUND(VLOOKUP($C$29,Parametri!$B$7:$D$12,3,FALSE)*Parametri!$C$3,6)</f>
        <v>0.11603200000000001</v>
      </c>
      <c r="R33" s="160">
        <f>+(VLOOKUP($C$29,Parametri!$B$26:$K$31,Parametri!K$24,FALSE)+Parametri!K$40+Parametri!K$32)/100+ROUND(VLOOKUP($C$29,Parametri!$B$7:$D$12,3,FALSE)*Parametri!$C$3,6)</f>
        <v>9.9700999999999998E-2</v>
      </c>
      <c r="S33" s="159">
        <f t="shared" si="31"/>
        <v>101.47572000000001</v>
      </c>
      <c r="T33" s="160">
        <f>+(Parametri!D$36+Parametri!D$41+Parametri!D$33+Parametri!D$35)/100</f>
        <v>4.0616000000000006E-2</v>
      </c>
      <c r="U33" s="160">
        <f>+(Parametri!E$36+Parametri!E$41+Parametri!E$33+Parametri!E$35)/100</f>
        <v>9.0216000000000018E-2</v>
      </c>
      <c r="V33" s="160">
        <f>+(Parametri!F$36+Parametri!F$41+Parametri!F$33+Parametri!F$35)/100</f>
        <v>6.9916000000000006E-2</v>
      </c>
      <c r="W33" s="160">
        <f>+(Parametri!G$36+Parametri!G$41+Parametri!G$33+Parametri!G$35)/100</f>
        <v>6.4315999999999998E-2</v>
      </c>
      <c r="X33" s="160">
        <f>+(Parametri!H$36+Parametri!H$41+Parametri!H$33+Parametri!H$35)/100</f>
        <v>5.7616000000000007E-2</v>
      </c>
      <c r="Y33" s="160">
        <f>+(Parametri!I$36+Parametri!I$41+Parametri!I$33+Parametri!I$35)/100</f>
        <v>4.7716000000000001E-2</v>
      </c>
      <c r="Z33" s="160">
        <f>+(Parametri!J$36+Parametri!J$41+Parametri!J$33+Parametri!J$35)/100</f>
        <v>2.4728999999999998E-2</v>
      </c>
      <c r="AA33" s="160">
        <f>+(Parametri!K$36+Parametri!K$41+Parametri!K$33+Parametri!K$35)/100</f>
        <v>2.4728999999999998E-2</v>
      </c>
      <c r="AB33" s="159">
        <f t="shared" si="32"/>
        <v>37.351680000000002</v>
      </c>
      <c r="AC33" s="161" t="s">
        <v>87</v>
      </c>
    </row>
    <row r="34" spans="1:29">
      <c r="A34" s="163">
        <v>1400</v>
      </c>
      <c r="B34" s="164">
        <f t="shared" si="22"/>
        <v>3</v>
      </c>
      <c r="C34" s="165">
        <f t="shared" si="23"/>
        <v>120</v>
      </c>
      <c r="D34" s="165">
        <f t="shared" si="24"/>
        <v>360</v>
      </c>
      <c r="E34" s="165">
        <f t="shared" si="25"/>
        <v>920</v>
      </c>
      <c r="F34" s="165">
        <f t="shared" si="26"/>
        <v>0</v>
      </c>
      <c r="G34" s="165">
        <f t="shared" si="27"/>
        <v>0</v>
      </c>
      <c r="H34" s="165">
        <f t="shared" si="28"/>
        <v>0</v>
      </c>
      <c r="I34" s="165">
        <f t="shared" si="29"/>
        <v>0</v>
      </c>
      <c r="J34" s="165">
        <f t="shared" si="30"/>
        <v>0</v>
      </c>
      <c r="K34" s="160">
        <f>+(VLOOKUP($C$29,Parametri!$B$26:$K$31,Parametri!D$24,FALSE)+Parametri!D$40+Parametri!D$32)/100+ROUND(VLOOKUP($C$29,Parametri!$B$7:$D$12,3,FALSE)*Parametri!$C$3,6)</f>
        <v>0.11202000000000001</v>
      </c>
      <c r="L34" s="160">
        <f>+(VLOOKUP($C$29,Parametri!$B$26:$K$31,Parametri!E$24,FALSE)+Parametri!E$40+Parametri!E$32)/100+ROUND(VLOOKUP($C$29,Parametri!$B$7:$D$12,3,FALSE)*Parametri!$C$3,6)</f>
        <v>0.244537</v>
      </c>
      <c r="M34" s="160">
        <f>+(VLOOKUP($C$29,Parametri!$B$26:$K$31,Parametri!F$24,FALSE)+Parametri!F$40+Parametri!F$32)/100+ROUND(VLOOKUP($C$29,Parametri!$B$7:$D$12,3,FALSE)*Parametri!$C$3,6)</f>
        <v>0.23331000000000002</v>
      </c>
      <c r="N34" s="160">
        <f>+(VLOOKUP($C$29,Parametri!$B$26:$K$31,Parametri!G$24,FALSE)+Parametri!G$40+Parametri!G$32)/100+ROUND(VLOOKUP($C$29,Parametri!$B$7:$D$12,3,FALSE)*Parametri!$C$3,6)</f>
        <v>0.23381999999999997</v>
      </c>
      <c r="O34" s="160">
        <f>+(VLOOKUP($C$29,Parametri!$B$26:$K$31,Parametri!H$24,FALSE)+Parametri!H$40+Parametri!H$32)/100+ROUND(VLOOKUP($C$29,Parametri!$B$7:$D$12,3,FALSE)*Parametri!$C$3,6)</f>
        <v>0.20303000000000004</v>
      </c>
      <c r="P34" s="160">
        <f>+(VLOOKUP($C$29,Parametri!$B$26:$K$31,Parametri!I$24,FALSE)+Parametri!I$40+Parametri!I$32)/100+ROUND(VLOOKUP($C$29,Parametri!$B$7:$D$12,3,FALSE)*Parametri!$C$3,6)</f>
        <v>0.15812000000000001</v>
      </c>
      <c r="Q34" s="160">
        <f>+(VLOOKUP($C$29,Parametri!$B$26:$K$31,Parametri!J$24,FALSE)+Parametri!J$40+Parametri!J$32)/100+ROUND(VLOOKUP($C$29,Parametri!$B$7:$D$12,3,FALSE)*Parametri!$C$3,6)</f>
        <v>0.11603200000000001</v>
      </c>
      <c r="R34" s="160">
        <f>+(VLOOKUP($C$29,Parametri!$B$26:$K$31,Parametri!K$24,FALSE)+Parametri!K$40+Parametri!K$32)/100+ROUND(VLOOKUP($C$29,Parametri!$B$7:$D$12,3,FALSE)*Parametri!$C$3,6)</f>
        <v>9.9700999999999998E-2</v>
      </c>
      <c r="S34" s="159">
        <f t="shared" si="31"/>
        <v>316.12092000000001</v>
      </c>
      <c r="T34" s="160">
        <f>+(Parametri!D$36+Parametri!D$41+Parametri!D$33)/100</f>
        <v>3.6708999999999999E-2</v>
      </c>
      <c r="U34" s="160">
        <f>+(Parametri!E$36+Parametri!E$41+Parametri!E$33)/100</f>
        <v>8.6309000000000011E-2</v>
      </c>
      <c r="V34" s="160">
        <f>+(Parametri!F$36+Parametri!F$41+Parametri!F$33)/100</f>
        <v>6.6008999999999998E-2</v>
      </c>
      <c r="W34" s="160">
        <f>+(Parametri!G$36+Parametri!G$41+Parametri!G$33)/100</f>
        <v>6.0409000000000004E-2</v>
      </c>
      <c r="X34" s="160">
        <f>+(Parametri!H$36+Parametri!H$41+Parametri!H$33)/100</f>
        <v>5.3709000000000007E-2</v>
      </c>
      <c r="Y34" s="160">
        <f>+(Parametri!I$36+Parametri!I$41+Parametri!I$33)/100</f>
        <v>4.3809000000000008E-2</v>
      </c>
      <c r="Z34" s="160">
        <f>+(Parametri!J$36+Parametri!J$41+Parametri!J$33)/100</f>
        <v>2.2902999999999996E-2</v>
      </c>
      <c r="AA34" s="160">
        <f>+(Parametri!K$36+Parametri!K$41+Parametri!K$33)/100</f>
        <v>2.2902999999999996E-2</v>
      </c>
      <c r="AB34" s="159">
        <f t="shared" si="32"/>
        <v>96.204599999999999</v>
      </c>
      <c r="AC34" s="151" t="s">
        <v>86</v>
      </c>
    </row>
    <row r="35" spans="1:29">
      <c r="A35" s="163">
        <v>3000</v>
      </c>
      <c r="B35" s="164">
        <f t="shared" si="22"/>
        <v>4</v>
      </c>
      <c r="C35" s="165">
        <f t="shared" si="23"/>
        <v>120</v>
      </c>
      <c r="D35" s="165">
        <f t="shared" si="24"/>
        <v>360</v>
      </c>
      <c r="E35" s="165">
        <f t="shared" si="25"/>
        <v>1080</v>
      </c>
      <c r="F35" s="165">
        <f t="shared" si="26"/>
        <v>1440</v>
      </c>
      <c r="G35" s="165">
        <f t="shared" si="27"/>
        <v>0</v>
      </c>
      <c r="H35" s="165">
        <f t="shared" si="28"/>
        <v>0</v>
      </c>
      <c r="I35" s="165">
        <f t="shared" si="29"/>
        <v>0</v>
      </c>
      <c r="J35" s="165">
        <f t="shared" si="30"/>
        <v>0</v>
      </c>
      <c r="K35" s="160">
        <f>+(VLOOKUP($C$29,Parametri!$B$26:$K$31,Parametri!D$24,FALSE)+Parametri!D$40+Parametri!D$32)/100+ROUND(VLOOKUP($C$29,Parametri!$B$7:$D$12,3,FALSE)*Parametri!$C$3,6)</f>
        <v>0.11202000000000001</v>
      </c>
      <c r="L35" s="160">
        <f>+(VLOOKUP($C$29,Parametri!$B$26:$K$31,Parametri!E$24,FALSE)+Parametri!E$40+Parametri!E$32)/100+ROUND(VLOOKUP($C$29,Parametri!$B$7:$D$12,3,FALSE)*Parametri!$C$3,6)</f>
        <v>0.244537</v>
      </c>
      <c r="M35" s="160">
        <f>+(VLOOKUP($C$29,Parametri!$B$26:$K$31,Parametri!F$24,FALSE)+Parametri!F$40+Parametri!F$32)/100+ROUND(VLOOKUP($C$29,Parametri!$B$7:$D$12,3,FALSE)*Parametri!$C$3,6)</f>
        <v>0.23331000000000002</v>
      </c>
      <c r="N35" s="160">
        <f>+(VLOOKUP($C$29,Parametri!$B$26:$K$31,Parametri!G$24,FALSE)+Parametri!G$40+Parametri!G$32)/100+ROUND(VLOOKUP($C$29,Parametri!$B$7:$D$12,3,FALSE)*Parametri!$C$3,6)</f>
        <v>0.23381999999999997</v>
      </c>
      <c r="O35" s="160">
        <f>+(VLOOKUP($C$29,Parametri!$B$26:$K$31,Parametri!H$24,FALSE)+Parametri!H$40+Parametri!H$32)/100+ROUND(VLOOKUP($C$29,Parametri!$B$7:$D$12,3,FALSE)*Parametri!$C$3,6)</f>
        <v>0.20303000000000004</v>
      </c>
      <c r="P35" s="160">
        <f>+(VLOOKUP($C$29,Parametri!$B$26:$K$31,Parametri!I$24,FALSE)+Parametri!I$40+Parametri!I$32)/100+ROUND(VLOOKUP($C$29,Parametri!$B$7:$D$12,3,FALSE)*Parametri!$C$3,6)</f>
        <v>0.15812000000000001</v>
      </c>
      <c r="Q35" s="160">
        <f>+(VLOOKUP($C$29,Parametri!$B$26:$K$31,Parametri!J$24,FALSE)+Parametri!J$40+Parametri!J$32)/100+ROUND(VLOOKUP($C$29,Parametri!$B$7:$D$12,3,FALSE)*Parametri!$C$3,6)</f>
        <v>0.11603200000000001</v>
      </c>
      <c r="R35" s="160">
        <f>+(VLOOKUP($C$29,Parametri!$B$26:$K$31,Parametri!K$24,FALSE)+Parametri!K$40+Parametri!K$32)/100+ROUND(VLOOKUP($C$29,Parametri!$B$7:$D$12,3,FALSE)*Parametri!$C$3,6)</f>
        <v>9.9700999999999998E-2</v>
      </c>
      <c r="S35" s="159">
        <f t="shared" si="31"/>
        <v>690.15131999999994</v>
      </c>
      <c r="T35" s="160">
        <f>+(Parametri!D$36+Parametri!D$41+Parametri!D$33+Parametri!D$35)/100</f>
        <v>4.0616000000000006E-2</v>
      </c>
      <c r="U35" s="160">
        <f>+(Parametri!E$36+Parametri!E$41+Parametri!E$33+Parametri!E$35)/100</f>
        <v>9.0216000000000018E-2</v>
      </c>
      <c r="V35" s="160">
        <f>+(Parametri!F$36+Parametri!F$41+Parametri!F$33+Parametri!F$35)/100</f>
        <v>6.9916000000000006E-2</v>
      </c>
      <c r="W35" s="160">
        <f>+(Parametri!G$36+Parametri!G$41+Parametri!G$33+Parametri!G$35)/100</f>
        <v>6.4315999999999998E-2</v>
      </c>
      <c r="X35" s="160">
        <f>+(Parametri!H$36+Parametri!H$41+Parametri!H$33+Parametri!H$35)/100</f>
        <v>5.7616000000000007E-2</v>
      </c>
      <c r="Y35" s="160">
        <f>+(Parametri!I$36+Parametri!I$41+Parametri!I$33+Parametri!I$35)/100</f>
        <v>4.7716000000000001E-2</v>
      </c>
      <c r="Z35" s="160">
        <f>+(Parametri!J$36+Parametri!J$41+Parametri!J$33+Parametri!J$35)/100</f>
        <v>2.4728999999999998E-2</v>
      </c>
      <c r="AA35" s="160">
        <f>+(Parametri!K$36+Parametri!K$41+Parametri!K$33+Parametri!K$35)/100</f>
        <v>2.4728999999999998E-2</v>
      </c>
      <c r="AB35" s="159">
        <f t="shared" si="32"/>
        <v>205.476</v>
      </c>
      <c r="AC35" s="151" t="s">
        <v>88</v>
      </c>
    </row>
    <row r="36" spans="1:29">
      <c r="A36" s="163">
        <v>15000</v>
      </c>
      <c r="B36" s="164">
        <f t="shared" si="22"/>
        <v>5</v>
      </c>
      <c r="C36" s="165">
        <f t="shared" si="23"/>
        <v>120</v>
      </c>
      <c r="D36" s="165">
        <f t="shared" si="24"/>
        <v>360</v>
      </c>
      <c r="E36" s="165">
        <f t="shared" si="25"/>
        <v>1080</v>
      </c>
      <c r="F36" s="165">
        <f t="shared" si="26"/>
        <v>3440</v>
      </c>
      <c r="G36" s="165">
        <f t="shared" si="27"/>
        <v>10000</v>
      </c>
      <c r="H36" s="165">
        <f t="shared" si="28"/>
        <v>0</v>
      </c>
      <c r="I36" s="165">
        <f t="shared" si="29"/>
        <v>0</v>
      </c>
      <c r="J36" s="165">
        <f t="shared" si="30"/>
        <v>0</v>
      </c>
      <c r="K36" s="160">
        <f>+(VLOOKUP($C$29,Parametri!$B$26:$K$31,Parametri!D$24,FALSE)+Parametri!D$40+Parametri!D$32)/100+ROUND(VLOOKUP($C$29,Parametri!$B$7:$D$12,3,FALSE)*Parametri!$C$3,6)</f>
        <v>0.11202000000000001</v>
      </c>
      <c r="L36" s="160">
        <f>+(VLOOKUP($C$29,Parametri!$B$26:$K$31,Parametri!E$24,FALSE)+Parametri!E$40+Parametri!E$32)/100+ROUND(VLOOKUP($C$29,Parametri!$B$7:$D$12,3,FALSE)*Parametri!$C$3,6)</f>
        <v>0.244537</v>
      </c>
      <c r="M36" s="160">
        <f>+(VLOOKUP($C$29,Parametri!$B$26:$K$31,Parametri!F$24,FALSE)+Parametri!F$40+Parametri!F$32)/100+ROUND(VLOOKUP($C$29,Parametri!$B$7:$D$12,3,FALSE)*Parametri!$C$3,6)</f>
        <v>0.23331000000000002</v>
      </c>
      <c r="N36" s="160">
        <f>+(VLOOKUP($C$29,Parametri!$B$26:$K$31,Parametri!G$24,FALSE)+Parametri!G$40+Parametri!G$32)/100+ROUND(VLOOKUP($C$29,Parametri!$B$7:$D$12,3,FALSE)*Parametri!$C$3,6)</f>
        <v>0.23381999999999997</v>
      </c>
      <c r="O36" s="160">
        <f>+(VLOOKUP($C$29,Parametri!$B$26:$K$31,Parametri!H$24,FALSE)+Parametri!H$40+Parametri!H$32)/100+ROUND(VLOOKUP($C$29,Parametri!$B$7:$D$12,3,FALSE)*Parametri!$C$3,6)</f>
        <v>0.20303000000000004</v>
      </c>
      <c r="P36" s="160">
        <f>+(VLOOKUP($C$29,Parametri!$B$26:$K$31,Parametri!I$24,FALSE)+Parametri!I$40+Parametri!I$32)/100+ROUND(VLOOKUP($C$29,Parametri!$B$7:$D$12,3,FALSE)*Parametri!$C$3,6)</f>
        <v>0.15812000000000001</v>
      </c>
      <c r="Q36" s="160">
        <f>+(VLOOKUP($C$29,Parametri!$B$26:$K$31,Parametri!J$24,FALSE)+Parametri!J$40+Parametri!J$32)/100+ROUND(VLOOKUP($C$29,Parametri!$B$7:$D$12,3,FALSE)*Parametri!$C$3,6)</f>
        <v>0.11603200000000001</v>
      </c>
      <c r="R36" s="160">
        <f>+(VLOOKUP($C$29,Parametri!$B$26:$K$31,Parametri!K$24,FALSE)+Parametri!K$40+Parametri!K$32)/100+ROUND(VLOOKUP($C$29,Parametri!$B$7:$D$12,3,FALSE)*Parametri!$C$3,6)</f>
        <v>9.9700999999999998E-2</v>
      </c>
      <c r="S36" s="159">
        <f t="shared" si="31"/>
        <v>3188.0913200000005</v>
      </c>
      <c r="T36" s="160">
        <f>+(Parametri!D$36+Parametri!D$41+Parametri!D$33+Parametri!D$35)/100</f>
        <v>4.0616000000000006E-2</v>
      </c>
      <c r="U36" s="160">
        <f>+(Parametri!E$36+Parametri!E$41+Parametri!E$33+Parametri!E$35)/100</f>
        <v>9.0216000000000018E-2</v>
      </c>
      <c r="V36" s="160">
        <f>+(Parametri!F$36+Parametri!F$41+Parametri!F$33+Parametri!F$35)/100</f>
        <v>6.9916000000000006E-2</v>
      </c>
      <c r="W36" s="160">
        <f>+(Parametri!G$36+Parametri!G$41+Parametri!G$33+Parametri!G$35)/100</f>
        <v>6.4315999999999998E-2</v>
      </c>
      <c r="X36" s="160">
        <f>+(Parametri!H$36+Parametri!H$41+Parametri!H$33+Parametri!H$35)/100</f>
        <v>5.7616000000000007E-2</v>
      </c>
      <c r="Y36" s="160">
        <f>+(Parametri!I$36+Parametri!I$41+Parametri!I$33+Parametri!I$35)/100</f>
        <v>4.7716000000000001E-2</v>
      </c>
      <c r="Z36" s="160">
        <f>+(Parametri!J$36+Parametri!J$41+Parametri!J$33+Parametri!J$35)/100</f>
        <v>2.4728999999999998E-2</v>
      </c>
      <c r="AA36" s="160">
        <f>+(Parametri!K$36+Parametri!K$41+Parametri!K$33+Parametri!K$35)/100</f>
        <v>2.4728999999999998E-2</v>
      </c>
      <c r="AB36" s="159">
        <f t="shared" si="32"/>
        <v>910.26800000000003</v>
      </c>
      <c r="AC36" s="151" t="s">
        <v>89</v>
      </c>
    </row>
    <row r="37" spans="1:29">
      <c r="A37" s="163">
        <v>15000</v>
      </c>
      <c r="B37" s="164">
        <f t="shared" si="22"/>
        <v>5</v>
      </c>
      <c r="C37" s="165">
        <f t="shared" si="23"/>
        <v>120</v>
      </c>
      <c r="D37" s="165">
        <f t="shared" si="24"/>
        <v>360</v>
      </c>
      <c r="E37" s="165">
        <f t="shared" si="25"/>
        <v>1080</v>
      </c>
      <c r="F37" s="165">
        <f t="shared" si="26"/>
        <v>3440</v>
      </c>
      <c r="G37" s="165">
        <f t="shared" si="27"/>
        <v>10000</v>
      </c>
      <c r="H37" s="165">
        <f t="shared" si="28"/>
        <v>0</v>
      </c>
      <c r="I37" s="165">
        <f t="shared" si="29"/>
        <v>0</v>
      </c>
      <c r="J37" s="165">
        <f t="shared" si="30"/>
        <v>0</v>
      </c>
      <c r="K37" s="160">
        <f>+(VLOOKUP($C$29,Parametri!$B$26:$K$31,Parametri!D$24,FALSE)+Parametri!D$40+Parametri!D$32)/100</f>
        <v>3.7624999999999999E-2</v>
      </c>
      <c r="L37" s="160">
        <f>+(VLOOKUP($C$29,Parametri!$B$26:$K$31,Parametri!E$24,FALSE)+Parametri!E$40+Parametri!E$32)/100</f>
        <v>0.17014199999999999</v>
      </c>
      <c r="M37" s="160">
        <f>+(VLOOKUP($C$29,Parametri!$B$26:$K$31,Parametri!F$24,FALSE)+Parametri!F$40+Parametri!F$32)/100</f>
        <v>0.158915</v>
      </c>
      <c r="N37" s="160">
        <f>+(VLOOKUP($C$29,Parametri!$B$26:$K$31,Parametri!G$24,FALSE)+Parametri!G$40+Parametri!G$32)/100</f>
        <v>0.15942499999999998</v>
      </c>
      <c r="O37" s="160">
        <f>+(VLOOKUP($C$29,Parametri!$B$26:$K$31,Parametri!H$24,FALSE)+Parametri!H$40+Parametri!H$32)/100</f>
        <v>0.12863500000000003</v>
      </c>
      <c r="P37" s="160">
        <f>+(VLOOKUP($C$29,Parametri!$B$26:$K$31,Parametri!I$24,FALSE)+Parametri!I$40+Parametri!I$32)/100</f>
        <v>8.3725000000000008E-2</v>
      </c>
      <c r="Q37" s="160">
        <f>+(VLOOKUP($C$29,Parametri!$B$26:$K$31,Parametri!J$24,FALSE)+Parametri!J$40+Parametri!J$32)/100</f>
        <v>4.1637000000000007E-2</v>
      </c>
      <c r="R37" s="160">
        <f>+(VLOOKUP($C$29,Parametri!$B$26:$K$31,Parametri!K$24,FALSE)+Parametri!K$40+Parametri!K$32)/100</f>
        <v>2.5305999999999999E-2</v>
      </c>
      <c r="S37" s="159">
        <f t="shared" si="31"/>
        <v>2072.1663200000003</v>
      </c>
      <c r="T37" s="160">
        <f>+(Parametri!D$36+Parametri!D$41+Parametri!D$33+Parametri!D$35)/100</f>
        <v>4.0616000000000006E-2</v>
      </c>
      <c r="U37" s="160">
        <f>+(Parametri!E$36+Parametri!E$41+Parametri!E$33+Parametri!E$35)/100</f>
        <v>9.0216000000000018E-2</v>
      </c>
      <c r="V37" s="160">
        <f>+(Parametri!F$36+Parametri!F$41+Parametri!F$33+Parametri!F$35)/100</f>
        <v>6.9916000000000006E-2</v>
      </c>
      <c r="W37" s="160">
        <f>+(Parametri!G$36+Parametri!G$41+Parametri!G$33+Parametri!G$35)/100</f>
        <v>6.4315999999999998E-2</v>
      </c>
      <c r="X37" s="160">
        <f>+(Parametri!H$36+Parametri!H$41+Parametri!H$33+Parametri!H$35)/100</f>
        <v>5.7616000000000007E-2</v>
      </c>
      <c r="Y37" s="160">
        <f>+(Parametri!I$36+Parametri!I$41+Parametri!I$33+Parametri!I$35)/100</f>
        <v>4.7716000000000001E-2</v>
      </c>
      <c r="Z37" s="160">
        <f>+(Parametri!J$36+Parametri!J$41+Parametri!J$33+Parametri!J$35)/100</f>
        <v>2.4728999999999998E-2</v>
      </c>
      <c r="AA37" s="160">
        <f>+(Parametri!K$36+Parametri!K$41+Parametri!K$33+Parametri!K$35)/100</f>
        <v>2.4728999999999998E-2</v>
      </c>
      <c r="AB37" s="159">
        <f t="shared" si="32"/>
        <v>910.26800000000003</v>
      </c>
      <c r="AC37" s="161" t="s">
        <v>91</v>
      </c>
    </row>
    <row r="38" spans="1:29" customFormat="1">
      <c r="A38" s="163">
        <v>70000</v>
      </c>
      <c r="B38" s="164">
        <f t="shared" si="22"/>
        <v>5</v>
      </c>
      <c r="C38" s="165">
        <f t="shared" si="23"/>
        <v>120</v>
      </c>
      <c r="D38" s="165">
        <f t="shared" si="24"/>
        <v>360</v>
      </c>
      <c r="E38" s="165">
        <f>+IF(OR(B38=1,B38=2),0,IF(B38=3,A38-$D$31,$E$31-$D$31))</f>
        <v>1080</v>
      </c>
      <c r="F38" s="165">
        <f>+IF(OR(B38=1,B38=2,B38=3),0,IF(B38=4,A38-$E$31,$F$31-$E$31))</f>
        <v>3440</v>
      </c>
      <c r="G38" s="165">
        <f>+IF(OR(B38=1,B38=2,B38=3,B38=4),0,IF(B38=5,A38-$F$31,$G$31-$F$31))</f>
        <v>65000</v>
      </c>
      <c r="H38" s="165">
        <f>+IF(OR(B38=1,B38=2,B38=3,B38=4,B38=5),0,IF(B38=6,A38-$G$31,$H$31-$G$31))</f>
        <v>0</v>
      </c>
      <c r="I38" s="165">
        <f>+IF(OR(B38=1,B38=2,B38=3,B38=4,B38=5,B38=6),0,IF(B38=7,A38-$H$31,$I$31-$H$31))</f>
        <v>0</v>
      </c>
      <c r="J38" s="165">
        <f>+IF(OR(B38=1,B38=2,B38=3,B38=4,B38=5,B38=6,B38=7),0,IF(B38=8,A38-$H$31,"ERRORE"))</f>
        <v>0</v>
      </c>
      <c r="K38" s="160">
        <f>+(VLOOKUP($C$29,Parametri!$B$26:$K$31,Parametri!D$24,FALSE)+Parametri!D$40+Parametri!D$32)/100+ROUND(VLOOKUP($C$29,Parametri!$B$7:$D$12,3,FALSE)*Parametri!$C$3,6)</f>
        <v>0.11202000000000001</v>
      </c>
      <c r="L38" s="160">
        <f>+(VLOOKUP($C$29,Parametri!$B$26:$K$31,Parametri!E$24,FALSE)+Parametri!E$40+Parametri!E$32)/100+ROUND(VLOOKUP($C$29,Parametri!$B$7:$D$12,3,FALSE)*Parametri!$C$3,6)</f>
        <v>0.244537</v>
      </c>
      <c r="M38" s="160">
        <f>+(VLOOKUP($C$29,Parametri!$B$26:$K$31,Parametri!F$24,FALSE)+Parametri!F$40+Parametri!F$32)/100+ROUND(VLOOKUP($C$29,Parametri!$B$7:$D$12,3,FALSE)*Parametri!$C$3,6)</f>
        <v>0.23331000000000002</v>
      </c>
      <c r="N38" s="160">
        <f>+(VLOOKUP($C$29,Parametri!$B$26:$K$31,Parametri!G$24,FALSE)+Parametri!G$40+Parametri!G$32)/100+ROUND(VLOOKUP($C$29,Parametri!$B$7:$D$12,3,FALSE)*Parametri!$C$3,6)</f>
        <v>0.23381999999999997</v>
      </c>
      <c r="O38" s="160">
        <f>+(VLOOKUP($C$29,Parametri!$B$26:$K$31,Parametri!H$24,FALSE)+Parametri!H$40+Parametri!H$32)/100+ROUND(VLOOKUP($C$29,Parametri!$B$7:$D$12,3,FALSE)*Parametri!$C$3,6)</f>
        <v>0.20303000000000004</v>
      </c>
      <c r="P38" s="160">
        <f>+(VLOOKUP($C$29,Parametri!$B$26:$K$31,Parametri!I$24,FALSE)+Parametri!I$40+Parametri!I$32)/100+ROUND(VLOOKUP($C$29,Parametri!$B$7:$D$12,3,FALSE)*Parametri!$C$3,6)</f>
        <v>0.15812000000000001</v>
      </c>
      <c r="Q38" s="160">
        <f>+(VLOOKUP($C$29,Parametri!$B$26:$K$31,Parametri!J$24,FALSE)+Parametri!J$40+Parametri!J$32)/100+ROUND(VLOOKUP($C$29,Parametri!$B$7:$D$12,3,FALSE)*Parametri!$C$3,6)</f>
        <v>0.11603200000000001</v>
      </c>
      <c r="R38" s="160">
        <f>+(VLOOKUP($C$29,Parametri!$B$26:$K$31,Parametri!K$24,FALSE)+Parametri!K$40+Parametri!K$32)/100+ROUND(VLOOKUP($C$29,Parametri!$B$7:$D$12,3,FALSE)*Parametri!$C$3,6)</f>
        <v>9.9700999999999998E-2</v>
      </c>
      <c r="S38" s="159">
        <f>+SUMPRODUCT(K38:R38,C38:J38)</f>
        <v>14354.741320000003</v>
      </c>
      <c r="T38" s="160">
        <f>+(Parametri!D$36+Parametri!D$41+Parametri!D$33)/100</f>
        <v>3.6708999999999999E-2</v>
      </c>
      <c r="U38" s="160">
        <f>+(Parametri!E$36+Parametri!E$41+Parametri!E$33)/100</f>
        <v>8.6309000000000011E-2</v>
      </c>
      <c r="V38" s="160">
        <f>+(Parametri!F$36+Parametri!F$41+Parametri!F$33)/100</f>
        <v>6.6008999999999998E-2</v>
      </c>
      <c r="W38" s="160">
        <f>+(Parametri!G$36+Parametri!G$41+Parametri!G$33)/100</f>
        <v>6.0409000000000004E-2</v>
      </c>
      <c r="X38" s="160">
        <f>+(Parametri!H$36+Parametri!H$41+Parametri!H$33)/100</f>
        <v>5.3709000000000007E-2</v>
      </c>
      <c r="Y38" s="160">
        <f>+(Parametri!I$36+Parametri!I$41+Parametri!I$33)/100</f>
        <v>4.3809000000000008E-2</v>
      </c>
      <c r="Z38" s="160">
        <f>+(Parametri!J$36+Parametri!J$41+Parametri!J$33)/100</f>
        <v>2.2902999999999996E-2</v>
      </c>
      <c r="AA38" s="160">
        <f>+(Parametri!K$36+Parametri!K$41+Parametri!K$33)/100</f>
        <v>2.2902999999999996E-2</v>
      </c>
      <c r="AB38" s="159">
        <f>+SUMPRODUCT(T38:AA38,C38:J38)</f>
        <v>3805.6580000000004</v>
      </c>
      <c r="AC38" s="180" t="s">
        <v>92</v>
      </c>
    </row>
    <row r="39" spans="1:29" customFormat="1">
      <c r="A39" s="163">
        <v>200000</v>
      </c>
      <c r="B39" s="164">
        <f t="shared" si="22"/>
        <v>6</v>
      </c>
      <c r="C39" s="165">
        <f t="shared" si="23"/>
        <v>120</v>
      </c>
      <c r="D39" s="165">
        <f t="shared" si="24"/>
        <v>360</v>
      </c>
      <c r="E39" s="165">
        <f>+IF(OR(B39=1,B39=2),0,IF(B39=3,A39-$D$31,$E$31-$D$31))</f>
        <v>1080</v>
      </c>
      <c r="F39" s="165">
        <f>+IF(OR(B39=1,B39=2,B39=3),0,IF(B39=4,A39-$E$31,$F$31-$E$31))</f>
        <v>3440</v>
      </c>
      <c r="G39" s="165">
        <f>+IF(OR(B39=1,B39=2,B39=3,B39=4),0,IF(B39=5,A39-$F$31,$G$31-$F$31))</f>
        <v>75000</v>
      </c>
      <c r="H39" s="165">
        <f>+IF(OR(B39=1,B39=2,B39=3,B39=4,B39=5),0,IF(B39=6,A39-$G$31,$H$31-$G$31))</f>
        <v>120000</v>
      </c>
      <c r="I39" s="165">
        <f>+IF(OR(B39=1,B39=2,B39=3,B39=4,B39=5,B39=6),0,IF(B39=7,A39-$H$31,$I$31-$H$31))</f>
        <v>0</v>
      </c>
      <c r="J39" s="165">
        <f>+IF(OR(B39=1,B39=2,B39=3,B39=4,B39=5,B39=6,B39=7),0,IF(B39=8,A39-$H$31,"ERRORE"))</f>
        <v>0</v>
      </c>
      <c r="K39" s="160">
        <f>+(VLOOKUP($C$29,Parametri!$B$26:$K$31,Parametri!D$24,FALSE)+Parametri!D$40+Parametri!D$32)/100+ROUND(VLOOKUP($C$29,Parametri!$B$7:$D$12,3,FALSE)*Parametri!$C$3,6)</f>
        <v>0.11202000000000001</v>
      </c>
      <c r="L39" s="160">
        <f>+(VLOOKUP($C$29,Parametri!$B$26:$K$31,Parametri!E$24,FALSE)+Parametri!E$40+Parametri!E$32)/100+ROUND(VLOOKUP($C$29,Parametri!$B$7:$D$12,3,FALSE)*Parametri!$C$3,6)</f>
        <v>0.244537</v>
      </c>
      <c r="M39" s="160">
        <f>+(VLOOKUP($C$29,Parametri!$B$26:$K$31,Parametri!F$24,FALSE)+Parametri!F$40+Parametri!F$32)/100+ROUND(VLOOKUP($C$29,Parametri!$B$7:$D$12,3,FALSE)*Parametri!$C$3,6)</f>
        <v>0.23331000000000002</v>
      </c>
      <c r="N39" s="160">
        <f>+(VLOOKUP($C$29,Parametri!$B$26:$K$31,Parametri!G$24,FALSE)+Parametri!G$40+Parametri!G$32)/100+ROUND(VLOOKUP($C$29,Parametri!$B$7:$D$12,3,FALSE)*Parametri!$C$3,6)</f>
        <v>0.23381999999999997</v>
      </c>
      <c r="O39" s="160">
        <f>+(VLOOKUP($C$29,Parametri!$B$26:$K$31,Parametri!H$24,FALSE)+Parametri!H$40+Parametri!H$32)/100+ROUND(VLOOKUP($C$29,Parametri!$B$7:$D$12,3,FALSE)*Parametri!$C$3,6)</f>
        <v>0.20303000000000004</v>
      </c>
      <c r="P39" s="160">
        <f>+(VLOOKUP($C$29,Parametri!$B$26:$K$31,Parametri!I$24,FALSE)+Parametri!I$40+Parametri!I$32)/100+ROUND(VLOOKUP($C$29,Parametri!$B$7:$D$12,3,FALSE)*Parametri!$C$3,6)</f>
        <v>0.15812000000000001</v>
      </c>
      <c r="Q39" s="160">
        <f>+(VLOOKUP($C$29,Parametri!$B$26:$K$31,Parametri!J$24,FALSE)+Parametri!J$40+Parametri!J$32)/100+ROUND(VLOOKUP($C$29,Parametri!$B$7:$D$12,3,FALSE)*Parametri!$C$3,6)</f>
        <v>0.11603200000000001</v>
      </c>
      <c r="R39" s="160">
        <f>+(VLOOKUP($C$29,Parametri!$B$26:$K$31,Parametri!K$24,FALSE)+Parametri!K$40+Parametri!K$32)/100+ROUND(VLOOKUP($C$29,Parametri!$B$7:$D$12,3,FALSE)*Parametri!$C$3,6)</f>
        <v>9.9700999999999998E-2</v>
      </c>
      <c r="S39" s="159">
        <f>+SUMPRODUCT(K39:R39,C39:J39)</f>
        <v>35359.441320000005</v>
      </c>
      <c r="T39" s="160">
        <f>+(Parametri!D$36+Parametri!D$41+Parametri!D$33)/100</f>
        <v>3.6708999999999999E-2</v>
      </c>
      <c r="U39" s="160">
        <f>+(Parametri!E$36+Parametri!E$41+Parametri!E$33)/100</f>
        <v>8.6309000000000011E-2</v>
      </c>
      <c r="V39" s="160">
        <f>+(Parametri!F$36+Parametri!F$41+Parametri!F$33)/100</f>
        <v>6.6008999999999998E-2</v>
      </c>
      <c r="W39" s="160">
        <f>+(Parametri!G$36+Parametri!G$41+Parametri!G$33)/100</f>
        <v>6.0409000000000004E-2</v>
      </c>
      <c r="X39" s="160">
        <f>+(Parametri!H$36+Parametri!H$41+Parametri!H$33)/100</f>
        <v>5.3709000000000007E-2</v>
      </c>
      <c r="Y39" s="160">
        <f>+(Parametri!I$36+Parametri!I$41+Parametri!I$33)/100</f>
        <v>4.3809000000000008E-2</v>
      </c>
      <c r="Z39" s="160">
        <f>+(Parametri!J$36+Parametri!J$41+Parametri!J$33)/100</f>
        <v>2.2902999999999996E-2</v>
      </c>
      <c r="AA39" s="160">
        <f>+(Parametri!K$36+Parametri!K$41+Parametri!K$33)/100</f>
        <v>2.2902999999999996E-2</v>
      </c>
      <c r="AB39" s="159">
        <f>+SUMPRODUCT(T39:AA39,C39:J39)</f>
        <v>9599.8280000000013</v>
      </c>
      <c r="AC39" s="180" t="s">
        <v>93</v>
      </c>
    </row>
    <row r="40" spans="1:29">
      <c r="A40" s="161"/>
      <c r="C40" s="166"/>
      <c r="D40" s="166"/>
      <c r="E40" s="166"/>
      <c r="F40" s="166"/>
      <c r="G40" s="166"/>
      <c r="H40" s="166"/>
      <c r="I40" s="166"/>
      <c r="J40" s="166"/>
      <c r="AC40" s="167"/>
    </row>
    <row r="41" spans="1:29">
      <c r="C41" s="166"/>
      <c r="D41" s="166"/>
      <c r="E41" s="166"/>
      <c r="F41" s="166"/>
      <c r="G41" s="166"/>
      <c r="H41" s="166"/>
      <c r="I41" s="166"/>
      <c r="J41" s="166"/>
      <c r="AC41" s="167"/>
    </row>
    <row r="42" spans="1:29">
      <c r="C42" s="166"/>
      <c r="D42" s="166"/>
      <c r="E42" s="166"/>
      <c r="F42" s="166"/>
      <c r="G42" s="166"/>
      <c r="H42" s="166"/>
      <c r="I42" s="166"/>
      <c r="J42" s="166"/>
      <c r="K42" s="177"/>
      <c r="AC42" s="167"/>
    </row>
    <row r="43" spans="1:29">
      <c r="C43" s="166"/>
      <c r="D43" s="166"/>
      <c r="E43" s="166"/>
      <c r="F43" s="166"/>
      <c r="G43" s="166"/>
      <c r="H43" s="166"/>
      <c r="I43" s="166"/>
      <c r="J43" s="166"/>
      <c r="AC43" s="167"/>
    </row>
    <row r="44" spans="1:29">
      <c r="C44" s="166"/>
      <c r="D44" s="166"/>
      <c r="E44" s="166"/>
      <c r="F44" s="166"/>
      <c r="G44" s="166"/>
      <c r="H44" s="166"/>
      <c r="I44" s="166"/>
      <c r="J44" s="166"/>
      <c r="AC44" s="167"/>
    </row>
    <row r="45" spans="1:29">
      <c r="C45" s="166"/>
      <c r="D45" s="166"/>
      <c r="E45" s="166"/>
      <c r="F45" s="166"/>
      <c r="G45" s="166"/>
      <c r="H45" s="166"/>
      <c r="I45" s="166"/>
      <c r="J45" s="166"/>
      <c r="AC45" s="167"/>
    </row>
    <row r="46" spans="1:29">
      <c r="C46" s="166"/>
      <c r="D46" s="166"/>
      <c r="E46" s="166"/>
      <c r="F46" s="166"/>
      <c r="G46" s="166"/>
      <c r="H46" s="166"/>
      <c r="I46" s="166"/>
      <c r="J46" s="166"/>
      <c r="AC46" s="167"/>
    </row>
    <row r="47" spans="1:29">
      <c r="C47" s="166"/>
      <c r="D47" s="166"/>
      <c r="E47" s="166"/>
      <c r="F47" s="166"/>
      <c r="G47" s="166"/>
      <c r="H47" s="166"/>
      <c r="I47" s="166"/>
      <c r="J47" s="166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7"/>
    </row>
    <row r="48" spans="1:29">
      <c r="C48" s="166"/>
      <c r="D48" s="166"/>
      <c r="E48" s="166"/>
      <c r="F48" s="166"/>
      <c r="G48" s="166"/>
      <c r="H48" s="166"/>
      <c r="I48" s="166"/>
      <c r="J48" s="166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7"/>
    </row>
    <row r="49" spans="1:28"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</row>
    <row r="50" spans="1:28"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</row>
    <row r="54" spans="1:28">
      <c r="A54" s="161"/>
    </row>
  </sheetData>
  <mergeCells count="3">
    <mergeCell ref="A2:A3"/>
    <mergeCell ref="A16:A17"/>
    <mergeCell ref="A30:A31"/>
  </mergeCells>
  <pageMargins left="1.21" right="0.75" top="1.04" bottom="0.49" header="0.5" footer="0.5"/>
  <pageSetup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73"/>
  <sheetViews>
    <sheetView workbookViewId="0">
      <pane ySplit="1" topLeftCell="A2" activePane="bottomLeft" state="frozen"/>
      <selection pane="bottomLeft" activeCell="G2" sqref="G2:G7"/>
    </sheetView>
  </sheetViews>
  <sheetFormatPr defaultRowHeight="11.25"/>
  <cols>
    <col min="1" max="1" width="25.5703125" style="115" bestFit="1" customWidth="1"/>
    <col min="2" max="2" width="16.5703125" style="140" bestFit="1" customWidth="1"/>
    <col min="3" max="3" width="37.28515625" style="140" bestFit="1" customWidth="1"/>
    <col min="4" max="4" width="21.140625" style="128" bestFit="1" customWidth="1"/>
    <col min="5" max="5" width="17.7109375" style="128" bestFit="1" customWidth="1"/>
    <col min="6" max="6" width="12.5703125" style="126" bestFit="1" customWidth="1"/>
    <col min="7" max="7" width="10.28515625" style="130" bestFit="1" customWidth="1"/>
    <col min="8" max="8" width="13.140625" style="128" bestFit="1" customWidth="1"/>
    <col min="9" max="9" width="14.7109375" style="128" bestFit="1" customWidth="1"/>
    <col min="10" max="10" width="9.140625" style="128"/>
    <col min="11" max="11" width="15.5703125" style="128" bestFit="1" customWidth="1"/>
    <col min="12" max="16384" width="9.140625" style="128"/>
  </cols>
  <sheetData>
    <row r="1" spans="1:12" s="216" customFormat="1">
      <c r="A1" s="214" t="s">
        <v>94</v>
      </c>
      <c r="B1" s="215" t="s">
        <v>95</v>
      </c>
      <c r="C1" s="215" t="s">
        <v>96</v>
      </c>
      <c r="D1" s="216" t="s">
        <v>69</v>
      </c>
      <c r="E1" s="216" t="s">
        <v>104</v>
      </c>
      <c r="F1" s="217" t="s">
        <v>105</v>
      </c>
      <c r="G1" s="246" t="s">
        <v>497</v>
      </c>
      <c r="H1" s="216" t="s">
        <v>106</v>
      </c>
      <c r="I1" s="216" t="s">
        <v>103</v>
      </c>
      <c r="K1" s="248" t="s">
        <v>111</v>
      </c>
    </row>
    <row r="2" spans="1:12">
      <c r="A2" s="115" t="s">
        <v>99</v>
      </c>
      <c r="B2" s="95" t="s">
        <v>108</v>
      </c>
      <c r="C2" s="127" t="s">
        <v>109</v>
      </c>
      <c r="D2" s="129" t="s">
        <v>9</v>
      </c>
      <c r="E2" s="138" t="s">
        <v>110</v>
      </c>
      <c r="F2" s="138">
        <v>0.50260499999999997</v>
      </c>
      <c r="G2" s="130">
        <v>38.520000000000003</v>
      </c>
      <c r="H2" s="138" t="s">
        <v>110</v>
      </c>
      <c r="I2" s="138" t="s">
        <v>110</v>
      </c>
      <c r="J2" s="216"/>
    </row>
    <row r="3" spans="1:12">
      <c r="A3" s="115" t="s">
        <v>102</v>
      </c>
      <c r="B3" s="95" t="s">
        <v>108</v>
      </c>
      <c r="C3" s="127" t="s">
        <v>112</v>
      </c>
      <c r="D3" s="129" t="s">
        <v>12</v>
      </c>
      <c r="E3" s="138" t="s">
        <v>110</v>
      </c>
      <c r="F3" s="138">
        <v>0.50260499999999997</v>
      </c>
      <c r="G3" s="130">
        <v>38.520000000000003</v>
      </c>
      <c r="H3" s="138" t="s">
        <v>110</v>
      </c>
      <c r="I3" s="138" t="s">
        <v>110</v>
      </c>
      <c r="J3" s="216"/>
      <c r="K3" s="244" t="s">
        <v>482</v>
      </c>
    </row>
    <row r="4" spans="1:12">
      <c r="A4" s="115" t="s">
        <v>97</v>
      </c>
      <c r="B4" s="95" t="s">
        <v>108</v>
      </c>
      <c r="C4" s="127" t="s">
        <v>113</v>
      </c>
      <c r="D4" s="129" t="s">
        <v>6</v>
      </c>
      <c r="E4" s="138" t="s">
        <v>110</v>
      </c>
      <c r="F4" s="138">
        <v>0.50260499999999997</v>
      </c>
      <c r="G4" s="130">
        <v>38.520000000000003</v>
      </c>
      <c r="H4" s="138" t="s">
        <v>110</v>
      </c>
      <c r="I4" s="139">
        <v>1</v>
      </c>
      <c r="J4" s="216"/>
      <c r="K4" s="245" t="s">
        <v>107</v>
      </c>
      <c r="L4" s="129" t="s">
        <v>486</v>
      </c>
    </row>
    <row r="5" spans="1:12">
      <c r="A5" s="115" t="s">
        <v>98</v>
      </c>
      <c r="B5" s="95" t="s">
        <v>108</v>
      </c>
      <c r="C5" s="127" t="s">
        <v>114</v>
      </c>
      <c r="D5" s="129" t="s">
        <v>8</v>
      </c>
      <c r="E5" s="138" t="s">
        <v>110</v>
      </c>
      <c r="F5" s="138">
        <v>0.50260499999999997</v>
      </c>
      <c r="G5" s="130">
        <v>38.520000000000003</v>
      </c>
      <c r="H5" s="138" t="s">
        <v>110</v>
      </c>
      <c r="I5" s="139">
        <v>2</v>
      </c>
      <c r="J5" s="216"/>
      <c r="K5" s="247" t="s">
        <v>487</v>
      </c>
    </row>
    <row r="6" spans="1:12">
      <c r="A6" s="115" t="s">
        <v>101</v>
      </c>
      <c r="B6" s="95" t="s">
        <v>108</v>
      </c>
      <c r="C6" s="127" t="s">
        <v>115</v>
      </c>
      <c r="D6" s="129" t="s">
        <v>11</v>
      </c>
      <c r="E6" s="138" t="s">
        <v>110</v>
      </c>
      <c r="F6" s="138">
        <v>0.50260499999999997</v>
      </c>
      <c r="G6" s="130">
        <v>38.520000000000003</v>
      </c>
      <c r="H6" s="138" t="s">
        <v>110</v>
      </c>
      <c r="I6" s="138" t="s">
        <v>110</v>
      </c>
      <c r="J6" s="216"/>
      <c r="K6" s="129"/>
    </row>
    <row r="7" spans="1:12">
      <c r="A7" s="115" t="s">
        <v>100</v>
      </c>
      <c r="B7" s="95" t="s">
        <v>108</v>
      </c>
      <c r="C7" s="127" t="s">
        <v>116</v>
      </c>
      <c r="D7" s="129" t="s">
        <v>10</v>
      </c>
      <c r="E7" s="138" t="s">
        <v>110</v>
      </c>
      <c r="F7" s="138">
        <v>0.50260499999999997</v>
      </c>
      <c r="G7" s="130">
        <v>38.520000000000003</v>
      </c>
      <c r="H7" s="138" t="s">
        <v>110</v>
      </c>
      <c r="I7" s="139">
        <v>6</v>
      </c>
      <c r="J7" s="216"/>
      <c r="K7" s="129" t="s">
        <v>496</v>
      </c>
    </row>
    <row r="8" spans="1:12">
      <c r="A8" s="115" t="s">
        <v>177</v>
      </c>
      <c r="B8" s="127" t="s">
        <v>178</v>
      </c>
      <c r="C8" s="127" t="s">
        <v>179</v>
      </c>
      <c r="D8" s="129" t="s">
        <v>8</v>
      </c>
      <c r="E8" s="129" t="s">
        <v>117</v>
      </c>
      <c r="F8" s="138" t="s">
        <v>110</v>
      </c>
      <c r="G8" s="130">
        <v>39.048000000000002</v>
      </c>
      <c r="H8" s="129">
        <v>34584201</v>
      </c>
      <c r="I8" s="129">
        <v>3</v>
      </c>
      <c r="J8" s="129"/>
      <c r="K8" s="269">
        <v>34545501</v>
      </c>
    </row>
    <row r="9" spans="1:12">
      <c r="A9" s="115" t="s">
        <v>425</v>
      </c>
      <c r="B9" s="115" t="s">
        <v>178</v>
      </c>
      <c r="C9" s="115" t="s">
        <v>455</v>
      </c>
      <c r="D9" s="129" t="s">
        <v>8</v>
      </c>
      <c r="E9" s="115" t="s">
        <v>117</v>
      </c>
      <c r="F9" s="138" t="s">
        <v>474</v>
      </c>
      <c r="G9" s="130">
        <v>38.934999999999995</v>
      </c>
      <c r="H9" s="115">
        <v>34577000</v>
      </c>
      <c r="I9" s="129" t="s">
        <v>474</v>
      </c>
      <c r="J9" s="129"/>
      <c r="K9" s="269">
        <v>34552300</v>
      </c>
    </row>
    <row r="10" spans="1:12">
      <c r="A10" s="129" t="s">
        <v>180</v>
      </c>
      <c r="B10" s="127" t="s">
        <v>178</v>
      </c>
      <c r="C10" s="127" t="s">
        <v>181</v>
      </c>
      <c r="D10" s="129" t="s">
        <v>8</v>
      </c>
      <c r="E10" s="129" t="s">
        <v>117</v>
      </c>
      <c r="F10" s="138" t="s">
        <v>110</v>
      </c>
      <c r="G10" s="130">
        <v>38.934999999999995</v>
      </c>
      <c r="H10" s="129">
        <v>34577000</v>
      </c>
      <c r="I10" s="129">
        <v>3</v>
      </c>
      <c r="J10" s="129"/>
    </row>
    <row r="11" spans="1:12">
      <c r="A11" s="115" t="s">
        <v>421</v>
      </c>
      <c r="B11" s="115" t="s">
        <v>178</v>
      </c>
      <c r="C11" s="115" t="s">
        <v>451</v>
      </c>
      <c r="D11" s="129" t="s">
        <v>8</v>
      </c>
      <c r="E11" s="115" t="s">
        <v>117</v>
      </c>
      <c r="F11" s="138" t="s">
        <v>474</v>
      </c>
      <c r="G11" s="130">
        <v>38.936999999999998</v>
      </c>
      <c r="H11" s="115">
        <v>34588000</v>
      </c>
      <c r="I11" s="129" t="s">
        <v>474</v>
      </c>
      <c r="J11" s="129"/>
    </row>
    <row r="12" spans="1:12">
      <c r="A12" s="129" t="s">
        <v>182</v>
      </c>
      <c r="B12" s="127" t="s">
        <v>178</v>
      </c>
      <c r="C12" s="127" t="s">
        <v>183</v>
      </c>
      <c r="D12" s="129" t="s">
        <v>8</v>
      </c>
      <c r="E12" s="129" t="s">
        <v>117</v>
      </c>
      <c r="F12" s="138" t="s">
        <v>110</v>
      </c>
      <c r="G12" s="130">
        <v>38.856999999999999</v>
      </c>
      <c r="H12" s="129">
        <v>34586401</v>
      </c>
      <c r="I12" s="129">
        <v>3</v>
      </c>
      <c r="J12" s="129"/>
    </row>
    <row r="13" spans="1:12">
      <c r="A13" s="115" t="s">
        <v>184</v>
      </c>
      <c r="B13" s="127" t="s">
        <v>178</v>
      </c>
      <c r="C13" s="127" t="s">
        <v>185</v>
      </c>
      <c r="D13" s="129" t="s">
        <v>8</v>
      </c>
      <c r="E13" s="129" t="s">
        <v>117</v>
      </c>
      <c r="F13" s="138" t="s">
        <v>110</v>
      </c>
      <c r="G13" s="130">
        <v>39.061999999999998</v>
      </c>
      <c r="H13" s="129">
        <v>34584501</v>
      </c>
      <c r="I13" s="129">
        <v>3</v>
      </c>
      <c r="J13" s="129"/>
    </row>
    <row r="14" spans="1:12">
      <c r="A14" s="129" t="s">
        <v>119</v>
      </c>
      <c r="B14" s="127" t="s">
        <v>178</v>
      </c>
      <c r="C14" s="127" t="s">
        <v>186</v>
      </c>
      <c r="D14" s="129" t="s">
        <v>8</v>
      </c>
      <c r="E14" s="129" t="s">
        <v>117</v>
      </c>
      <c r="F14" s="138" t="s">
        <v>110</v>
      </c>
      <c r="G14" s="130">
        <v>38.934999999999995</v>
      </c>
      <c r="H14" s="129">
        <v>34577000</v>
      </c>
      <c r="I14" s="129">
        <v>3</v>
      </c>
    </row>
    <row r="15" spans="1:12">
      <c r="A15" s="129" t="s">
        <v>187</v>
      </c>
      <c r="B15" s="127" t="s">
        <v>178</v>
      </c>
      <c r="C15" s="127" t="s">
        <v>188</v>
      </c>
      <c r="D15" s="129" t="s">
        <v>8</v>
      </c>
      <c r="E15" s="129" t="s">
        <v>117</v>
      </c>
      <c r="F15" s="138" t="s">
        <v>110</v>
      </c>
      <c r="G15" s="130">
        <v>38.836000000000006</v>
      </c>
      <c r="H15" s="129">
        <v>34584601</v>
      </c>
      <c r="I15" s="129">
        <v>3</v>
      </c>
    </row>
    <row r="16" spans="1:12">
      <c r="A16" s="129" t="s">
        <v>189</v>
      </c>
      <c r="B16" s="127" t="s">
        <v>178</v>
      </c>
      <c r="C16" s="127" t="s">
        <v>190</v>
      </c>
      <c r="D16" s="129" t="s">
        <v>8</v>
      </c>
      <c r="E16" s="129" t="s">
        <v>117</v>
      </c>
      <c r="F16" s="138" t="s">
        <v>110</v>
      </c>
      <c r="G16" s="130">
        <v>39.239000000000004</v>
      </c>
      <c r="H16" s="129">
        <v>34582400</v>
      </c>
      <c r="I16" s="129">
        <v>3</v>
      </c>
    </row>
    <row r="17" spans="1:9">
      <c r="A17" s="115" t="s">
        <v>191</v>
      </c>
      <c r="B17" s="127" t="s">
        <v>178</v>
      </c>
      <c r="C17" s="127" t="s">
        <v>192</v>
      </c>
      <c r="D17" s="129" t="s">
        <v>8</v>
      </c>
      <c r="E17" s="129" t="s">
        <v>117</v>
      </c>
      <c r="F17" s="138" t="s">
        <v>110</v>
      </c>
      <c r="G17" s="130">
        <v>38.939</v>
      </c>
      <c r="H17" s="129">
        <v>34584701</v>
      </c>
      <c r="I17" s="129">
        <v>3</v>
      </c>
    </row>
    <row r="18" spans="1:9">
      <c r="A18" s="129" t="s">
        <v>193</v>
      </c>
      <c r="B18" s="127" t="s">
        <v>178</v>
      </c>
      <c r="C18" s="127" t="s">
        <v>194</v>
      </c>
      <c r="D18" s="129" t="s">
        <v>8</v>
      </c>
      <c r="E18" s="129" t="s">
        <v>117</v>
      </c>
      <c r="F18" s="138" t="s">
        <v>110</v>
      </c>
      <c r="G18" s="130">
        <v>39.239000000000004</v>
      </c>
      <c r="H18" s="129">
        <v>34582400</v>
      </c>
      <c r="I18" s="129">
        <v>3</v>
      </c>
    </row>
    <row r="19" spans="1:9">
      <c r="A19" s="115" t="s">
        <v>418</v>
      </c>
      <c r="B19" s="115" t="s">
        <v>178</v>
      </c>
      <c r="C19" s="115" t="s">
        <v>448</v>
      </c>
      <c r="D19" s="129" t="s">
        <v>8</v>
      </c>
      <c r="E19" s="129" t="s">
        <v>121</v>
      </c>
      <c r="F19" s="138" t="s">
        <v>474</v>
      </c>
      <c r="G19" s="130">
        <v>39.369</v>
      </c>
      <c r="H19" s="115">
        <v>34631001</v>
      </c>
      <c r="I19" s="129" t="s">
        <v>474</v>
      </c>
    </row>
    <row r="20" spans="1:9">
      <c r="A20" s="115" t="s">
        <v>418</v>
      </c>
      <c r="B20" s="115" t="s">
        <v>178</v>
      </c>
      <c r="C20" s="115" t="s">
        <v>448</v>
      </c>
      <c r="D20" s="129" t="s">
        <v>8</v>
      </c>
      <c r="E20" s="129" t="s">
        <v>121</v>
      </c>
      <c r="F20" s="138" t="s">
        <v>474</v>
      </c>
      <c r="G20" s="130">
        <v>39.146000000000001</v>
      </c>
      <c r="H20" s="115">
        <v>34496200</v>
      </c>
      <c r="I20" s="129" t="s">
        <v>474</v>
      </c>
    </row>
    <row r="21" spans="1:9">
      <c r="A21" s="129" t="s">
        <v>195</v>
      </c>
      <c r="B21" s="127" t="s">
        <v>178</v>
      </c>
      <c r="C21" s="127" t="s">
        <v>196</v>
      </c>
      <c r="D21" s="129" t="s">
        <v>8</v>
      </c>
      <c r="E21" s="129" t="s">
        <v>117</v>
      </c>
      <c r="F21" s="138" t="s">
        <v>110</v>
      </c>
      <c r="G21" s="130">
        <v>38.841999999999999</v>
      </c>
      <c r="H21" s="129">
        <v>34587901</v>
      </c>
      <c r="I21" s="129">
        <v>3</v>
      </c>
    </row>
    <row r="22" spans="1:9">
      <c r="A22" s="129" t="s">
        <v>197</v>
      </c>
      <c r="B22" s="127" t="s">
        <v>178</v>
      </c>
      <c r="C22" s="127" t="s">
        <v>198</v>
      </c>
      <c r="D22" s="129" t="s">
        <v>8</v>
      </c>
      <c r="E22" s="129" t="s">
        <v>117</v>
      </c>
      <c r="F22" s="138" t="s">
        <v>110</v>
      </c>
      <c r="G22" s="130">
        <v>38.896000000000001</v>
      </c>
      <c r="H22" s="129">
        <v>34588301</v>
      </c>
      <c r="I22" s="129">
        <v>3</v>
      </c>
    </row>
    <row r="23" spans="1:9">
      <c r="A23" s="129" t="s">
        <v>199</v>
      </c>
      <c r="B23" s="127" t="s">
        <v>178</v>
      </c>
      <c r="C23" s="127" t="s">
        <v>200</v>
      </c>
      <c r="D23" s="129" t="s">
        <v>8</v>
      </c>
      <c r="E23" s="129" t="s">
        <v>117</v>
      </c>
      <c r="F23" s="138" t="s">
        <v>110</v>
      </c>
      <c r="G23" s="130">
        <v>38.856999999999999</v>
      </c>
      <c r="H23" s="129">
        <v>34586401</v>
      </c>
      <c r="I23" s="129">
        <v>3</v>
      </c>
    </row>
    <row r="24" spans="1:9">
      <c r="A24" s="129" t="s">
        <v>201</v>
      </c>
      <c r="B24" s="127" t="s">
        <v>178</v>
      </c>
      <c r="C24" s="127" t="s">
        <v>202</v>
      </c>
      <c r="D24" s="129" t="s">
        <v>8</v>
      </c>
      <c r="E24" s="129" t="s">
        <v>117</v>
      </c>
      <c r="F24" s="138" t="s">
        <v>110</v>
      </c>
      <c r="G24" s="130">
        <v>38.836000000000006</v>
      </c>
      <c r="H24" s="129">
        <v>34584601</v>
      </c>
      <c r="I24" s="129">
        <v>3</v>
      </c>
    </row>
    <row r="25" spans="1:9">
      <c r="A25" s="129" t="s">
        <v>203</v>
      </c>
      <c r="B25" s="127" t="s">
        <v>178</v>
      </c>
      <c r="C25" s="127" t="s">
        <v>204</v>
      </c>
      <c r="D25" s="129" t="s">
        <v>8</v>
      </c>
      <c r="E25" s="129" t="s">
        <v>117</v>
      </c>
      <c r="F25" s="138" t="s">
        <v>110</v>
      </c>
      <c r="G25" s="130">
        <v>39.161999999999999</v>
      </c>
      <c r="H25" s="129">
        <v>34577300</v>
      </c>
      <c r="I25" s="129">
        <v>3</v>
      </c>
    </row>
    <row r="26" spans="1:9">
      <c r="A26" s="129" t="s">
        <v>205</v>
      </c>
      <c r="B26" s="127" t="s">
        <v>178</v>
      </c>
      <c r="C26" s="127" t="s">
        <v>206</v>
      </c>
      <c r="D26" s="129" t="s">
        <v>8</v>
      </c>
      <c r="E26" s="129" t="s">
        <v>117</v>
      </c>
      <c r="F26" s="138" t="s">
        <v>110</v>
      </c>
      <c r="G26" s="130">
        <v>38.836000000000006</v>
      </c>
      <c r="H26" s="129">
        <v>34584601</v>
      </c>
      <c r="I26" s="129">
        <v>3</v>
      </c>
    </row>
    <row r="27" spans="1:9">
      <c r="A27" s="129" t="s">
        <v>207</v>
      </c>
      <c r="B27" s="127" t="s">
        <v>178</v>
      </c>
      <c r="C27" s="127" t="s">
        <v>208</v>
      </c>
      <c r="D27" s="129" t="s">
        <v>8</v>
      </c>
      <c r="E27" s="129" t="s">
        <v>117</v>
      </c>
      <c r="F27" s="138" t="s">
        <v>110</v>
      </c>
      <c r="G27" s="130">
        <v>38.843000000000004</v>
      </c>
      <c r="H27" s="129">
        <v>34585401</v>
      </c>
      <c r="I27" s="129">
        <v>3</v>
      </c>
    </row>
    <row r="28" spans="1:9">
      <c r="A28" s="115" t="s">
        <v>209</v>
      </c>
      <c r="B28" s="127" t="s">
        <v>178</v>
      </c>
      <c r="C28" s="127" t="s">
        <v>210</v>
      </c>
      <c r="D28" s="129" t="s">
        <v>8</v>
      </c>
      <c r="E28" s="129" t="s">
        <v>117</v>
      </c>
      <c r="F28" s="138" t="s">
        <v>110</v>
      </c>
      <c r="G28" s="130">
        <v>38.843000000000004</v>
      </c>
      <c r="H28" s="129">
        <v>34585401</v>
      </c>
      <c r="I28" s="129">
        <v>3</v>
      </c>
    </row>
    <row r="29" spans="1:9">
      <c r="A29" s="129" t="s">
        <v>211</v>
      </c>
      <c r="B29" s="127" t="s">
        <v>178</v>
      </c>
      <c r="C29" s="127" t="s">
        <v>212</v>
      </c>
      <c r="D29" s="129" t="s">
        <v>8</v>
      </c>
      <c r="E29" s="129" t="s">
        <v>117</v>
      </c>
      <c r="F29" s="138" t="s">
        <v>110</v>
      </c>
      <c r="G29" s="130">
        <v>38.896000000000001</v>
      </c>
      <c r="H29" s="129">
        <v>34588301</v>
      </c>
      <c r="I29" s="129">
        <v>3</v>
      </c>
    </row>
    <row r="30" spans="1:9">
      <c r="A30" s="115" t="s">
        <v>213</v>
      </c>
      <c r="B30" s="127" t="s">
        <v>178</v>
      </c>
      <c r="C30" s="127" t="s">
        <v>214</v>
      </c>
      <c r="D30" s="129" t="s">
        <v>8</v>
      </c>
      <c r="E30" s="129" t="s">
        <v>117</v>
      </c>
      <c r="F30" s="138" t="s">
        <v>110</v>
      </c>
      <c r="G30" s="130">
        <v>39.5</v>
      </c>
      <c r="H30" s="129">
        <v>34585601</v>
      </c>
      <c r="I30" s="129">
        <v>3</v>
      </c>
    </row>
    <row r="31" spans="1:9">
      <c r="A31" s="115" t="s">
        <v>427</v>
      </c>
      <c r="B31" s="115" t="s">
        <v>178</v>
      </c>
      <c r="C31" s="115" t="s">
        <v>457</v>
      </c>
      <c r="D31" s="129" t="s">
        <v>8</v>
      </c>
      <c r="E31" s="129" t="s">
        <v>121</v>
      </c>
      <c r="F31" s="138" t="s">
        <v>474</v>
      </c>
      <c r="G31" s="130">
        <v>38.756999999999998</v>
      </c>
      <c r="H31" s="115">
        <v>34631300</v>
      </c>
      <c r="I31" s="129" t="s">
        <v>474</v>
      </c>
    </row>
    <row r="32" spans="1:9">
      <c r="A32" s="115" t="s">
        <v>426</v>
      </c>
      <c r="B32" s="115" t="s">
        <v>178</v>
      </c>
      <c r="C32" s="115" t="s">
        <v>456</v>
      </c>
      <c r="D32" s="129" t="s">
        <v>8</v>
      </c>
      <c r="E32" s="115" t="s">
        <v>117</v>
      </c>
      <c r="F32" s="138" t="s">
        <v>474</v>
      </c>
      <c r="G32" s="130">
        <v>38.936999999999998</v>
      </c>
      <c r="H32" s="115">
        <v>34588000</v>
      </c>
      <c r="I32" s="129" t="s">
        <v>474</v>
      </c>
    </row>
    <row r="33" spans="1:9">
      <c r="A33" s="115" t="s">
        <v>215</v>
      </c>
      <c r="B33" s="127" t="s">
        <v>178</v>
      </c>
      <c r="C33" s="127" t="s">
        <v>216</v>
      </c>
      <c r="D33" s="129" t="s">
        <v>8</v>
      </c>
      <c r="E33" s="129" t="s">
        <v>117</v>
      </c>
      <c r="F33" s="138" t="s">
        <v>110</v>
      </c>
      <c r="G33" s="130">
        <v>39.010999999999996</v>
      </c>
      <c r="H33" s="129">
        <v>34585900</v>
      </c>
      <c r="I33" s="129">
        <v>3</v>
      </c>
    </row>
    <row r="34" spans="1:9">
      <c r="A34" s="115" t="s">
        <v>217</v>
      </c>
      <c r="B34" s="127" t="s">
        <v>178</v>
      </c>
      <c r="C34" s="127" t="s">
        <v>218</v>
      </c>
      <c r="D34" s="129" t="s">
        <v>8</v>
      </c>
      <c r="E34" s="129" t="s">
        <v>117</v>
      </c>
      <c r="F34" s="138" t="s">
        <v>110</v>
      </c>
      <c r="G34" s="130">
        <v>38.85</v>
      </c>
      <c r="H34" s="129">
        <v>34586001</v>
      </c>
      <c r="I34" s="129">
        <v>3</v>
      </c>
    </row>
    <row r="35" spans="1:9">
      <c r="A35" s="115" t="s">
        <v>128</v>
      </c>
      <c r="B35" s="127" t="s">
        <v>178</v>
      </c>
      <c r="C35" s="127" t="s">
        <v>219</v>
      </c>
      <c r="D35" s="129" t="s">
        <v>8</v>
      </c>
      <c r="E35" s="129" t="s">
        <v>117</v>
      </c>
      <c r="F35" s="138" t="s">
        <v>110</v>
      </c>
      <c r="G35" s="130">
        <v>39.161999999999999</v>
      </c>
      <c r="H35" s="129">
        <v>34577300</v>
      </c>
      <c r="I35" s="129">
        <v>3</v>
      </c>
    </row>
    <row r="36" spans="1:9">
      <c r="A36" s="115" t="s">
        <v>419</v>
      </c>
      <c r="B36" s="115" t="s">
        <v>178</v>
      </c>
      <c r="C36" s="115" t="s">
        <v>449</v>
      </c>
      <c r="D36" s="129" t="s">
        <v>8</v>
      </c>
      <c r="E36" s="129" t="s">
        <v>121</v>
      </c>
      <c r="F36" s="138" t="s">
        <v>474</v>
      </c>
      <c r="G36" s="130">
        <v>39.021999999999998</v>
      </c>
      <c r="H36" s="115">
        <v>34631500</v>
      </c>
      <c r="I36" s="129" t="s">
        <v>474</v>
      </c>
    </row>
    <row r="37" spans="1:9">
      <c r="A37" s="115" t="s">
        <v>220</v>
      </c>
      <c r="B37" s="127" t="s">
        <v>178</v>
      </c>
      <c r="C37" s="127" t="s">
        <v>221</v>
      </c>
      <c r="D37" s="129" t="s">
        <v>8</v>
      </c>
      <c r="E37" s="129" t="s">
        <v>117</v>
      </c>
      <c r="F37" s="138" t="s">
        <v>110</v>
      </c>
      <c r="G37" s="130">
        <v>38.934000000000005</v>
      </c>
      <c r="H37" s="129">
        <v>34586201</v>
      </c>
      <c r="I37" s="129">
        <v>3</v>
      </c>
    </row>
    <row r="38" spans="1:9">
      <c r="A38" s="115" t="s">
        <v>222</v>
      </c>
      <c r="B38" s="127" t="s">
        <v>178</v>
      </c>
      <c r="C38" s="127" t="s">
        <v>223</v>
      </c>
      <c r="D38" s="129" t="s">
        <v>8</v>
      </c>
      <c r="E38" s="129" t="s">
        <v>117</v>
      </c>
      <c r="F38" s="138" t="s">
        <v>110</v>
      </c>
      <c r="G38" s="130">
        <v>38.961999999999996</v>
      </c>
      <c r="H38" s="129">
        <v>34586301</v>
      </c>
      <c r="I38" s="129">
        <v>3</v>
      </c>
    </row>
    <row r="39" spans="1:9">
      <c r="A39" s="115" t="s">
        <v>224</v>
      </c>
      <c r="B39" s="127" t="s">
        <v>178</v>
      </c>
      <c r="C39" s="127" t="s">
        <v>225</v>
      </c>
      <c r="D39" s="129" t="s">
        <v>8</v>
      </c>
      <c r="E39" s="129" t="s">
        <v>117</v>
      </c>
      <c r="F39" s="138" t="s">
        <v>110</v>
      </c>
      <c r="G39" s="130">
        <v>38.856999999999999</v>
      </c>
      <c r="H39" s="129">
        <v>34586401</v>
      </c>
      <c r="I39" s="129">
        <v>3</v>
      </c>
    </row>
    <row r="40" spans="1:9">
      <c r="A40" s="129" t="s">
        <v>226</v>
      </c>
      <c r="B40" s="127" t="s">
        <v>178</v>
      </c>
      <c r="C40" s="127" t="s">
        <v>227</v>
      </c>
      <c r="D40" s="129" t="s">
        <v>8</v>
      </c>
      <c r="E40" s="129" t="s">
        <v>117</v>
      </c>
      <c r="F40" s="138" t="s">
        <v>110</v>
      </c>
      <c r="G40" s="130">
        <v>39.010999999999996</v>
      </c>
      <c r="H40" s="129">
        <v>34585900</v>
      </c>
      <c r="I40" s="129">
        <v>3</v>
      </c>
    </row>
    <row r="41" spans="1:9">
      <c r="A41" s="129" t="s">
        <v>228</v>
      </c>
      <c r="B41" s="127" t="s">
        <v>178</v>
      </c>
      <c r="C41" s="127" t="s">
        <v>229</v>
      </c>
      <c r="D41" s="129" t="s">
        <v>8</v>
      </c>
      <c r="E41" s="129" t="s">
        <v>117</v>
      </c>
      <c r="F41" s="138" t="s">
        <v>110</v>
      </c>
      <c r="G41" s="130">
        <v>38.934000000000005</v>
      </c>
      <c r="H41" s="129">
        <v>34586201</v>
      </c>
      <c r="I41" s="129">
        <v>3</v>
      </c>
    </row>
    <row r="42" spans="1:9">
      <c r="A42" s="129" t="s">
        <v>230</v>
      </c>
      <c r="B42" s="127" t="s">
        <v>178</v>
      </c>
      <c r="C42" s="127" t="s">
        <v>231</v>
      </c>
      <c r="D42" s="129" t="s">
        <v>8</v>
      </c>
      <c r="E42" s="129" t="s">
        <v>117</v>
      </c>
      <c r="F42" s="138" t="s">
        <v>110</v>
      </c>
      <c r="G42" s="130">
        <v>39.5</v>
      </c>
      <c r="H42" s="129">
        <v>34585601</v>
      </c>
      <c r="I42" s="129">
        <v>3</v>
      </c>
    </row>
    <row r="43" spans="1:9">
      <c r="A43" s="115" t="s">
        <v>232</v>
      </c>
      <c r="B43" s="127" t="s">
        <v>178</v>
      </c>
      <c r="C43" s="127" t="s">
        <v>233</v>
      </c>
      <c r="D43" s="129" t="s">
        <v>8</v>
      </c>
      <c r="E43" s="129" t="s">
        <v>117</v>
      </c>
      <c r="F43" s="138" t="s">
        <v>110</v>
      </c>
      <c r="G43" s="130">
        <v>38.836000000000006</v>
      </c>
      <c r="H43" s="129">
        <v>34586801</v>
      </c>
      <c r="I43" s="129">
        <v>3</v>
      </c>
    </row>
    <row r="44" spans="1:9">
      <c r="A44" s="115" t="s">
        <v>234</v>
      </c>
      <c r="B44" s="127" t="s">
        <v>178</v>
      </c>
      <c r="C44" s="127" t="s">
        <v>235</v>
      </c>
      <c r="D44" s="129" t="s">
        <v>8</v>
      </c>
      <c r="E44" s="129" t="s">
        <v>117</v>
      </c>
      <c r="F44" s="138" t="s">
        <v>110</v>
      </c>
      <c r="G44" s="130">
        <v>39.239000000000004</v>
      </c>
      <c r="H44" s="129">
        <v>34582400</v>
      </c>
      <c r="I44" s="129">
        <v>3</v>
      </c>
    </row>
    <row r="45" spans="1:9">
      <c r="A45" s="129" t="s">
        <v>236</v>
      </c>
      <c r="B45" s="127" t="s">
        <v>178</v>
      </c>
      <c r="C45" s="127" t="s">
        <v>237</v>
      </c>
      <c r="D45" s="129" t="s">
        <v>8</v>
      </c>
      <c r="E45" s="129" t="s">
        <v>117</v>
      </c>
      <c r="F45" s="138" t="s">
        <v>110</v>
      </c>
      <c r="G45" s="130">
        <v>38.841999999999999</v>
      </c>
      <c r="H45" s="129">
        <v>34587901</v>
      </c>
      <c r="I45" s="129">
        <v>3</v>
      </c>
    </row>
    <row r="46" spans="1:9">
      <c r="A46" s="115" t="s">
        <v>238</v>
      </c>
      <c r="B46" s="127" t="s">
        <v>178</v>
      </c>
      <c r="C46" s="127" t="s">
        <v>239</v>
      </c>
      <c r="D46" s="129" t="s">
        <v>8</v>
      </c>
      <c r="E46" s="129" t="s">
        <v>117</v>
      </c>
      <c r="F46" s="138" t="s">
        <v>110</v>
      </c>
      <c r="G46" s="130">
        <v>39.003</v>
      </c>
      <c r="H46" s="129">
        <v>34587001</v>
      </c>
      <c r="I46" s="129">
        <v>3</v>
      </c>
    </row>
    <row r="47" spans="1:9">
      <c r="A47" s="129" t="s">
        <v>240</v>
      </c>
      <c r="B47" s="127" t="s">
        <v>178</v>
      </c>
      <c r="C47" s="127" t="s">
        <v>241</v>
      </c>
      <c r="D47" s="129" t="s">
        <v>8</v>
      </c>
      <c r="E47" s="129" t="s">
        <v>117</v>
      </c>
      <c r="F47" s="138" t="s">
        <v>110</v>
      </c>
      <c r="G47" s="130">
        <v>39.010999999999996</v>
      </c>
      <c r="H47" s="129">
        <v>34585900</v>
      </c>
      <c r="I47" s="129">
        <v>3</v>
      </c>
    </row>
    <row r="48" spans="1:9">
      <c r="A48" s="129" t="s">
        <v>134</v>
      </c>
      <c r="B48" s="127" t="s">
        <v>178</v>
      </c>
      <c r="C48" s="127" t="s">
        <v>242</v>
      </c>
      <c r="D48" s="129" t="s">
        <v>8</v>
      </c>
      <c r="E48" s="129" t="s">
        <v>117</v>
      </c>
      <c r="F48" s="138" t="s">
        <v>110</v>
      </c>
      <c r="G48" s="130">
        <v>39.161999999999999</v>
      </c>
      <c r="H48" s="129">
        <v>34577300</v>
      </c>
      <c r="I48" s="129">
        <v>3</v>
      </c>
    </row>
    <row r="49" spans="1:9">
      <c r="A49" s="129" t="s">
        <v>243</v>
      </c>
      <c r="B49" s="127" t="s">
        <v>178</v>
      </c>
      <c r="C49" s="127" t="s">
        <v>244</v>
      </c>
      <c r="D49" s="129" t="s">
        <v>8</v>
      </c>
      <c r="E49" s="129" t="s">
        <v>117</v>
      </c>
      <c r="F49" s="138" t="s">
        <v>110</v>
      </c>
      <c r="G49" s="130">
        <v>38.939</v>
      </c>
      <c r="H49" s="129">
        <v>34584701</v>
      </c>
      <c r="I49" s="129">
        <v>3</v>
      </c>
    </row>
    <row r="50" spans="1:9">
      <c r="A50" s="115" t="s">
        <v>136</v>
      </c>
      <c r="B50" s="127" t="s">
        <v>178</v>
      </c>
      <c r="C50" s="127" t="s">
        <v>245</v>
      </c>
      <c r="D50" s="129" t="s">
        <v>8</v>
      </c>
      <c r="E50" s="129" t="s">
        <v>117</v>
      </c>
      <c r="F50" s="138" t="s">
        <v>110</v>
      </c>
      <c r="G50" s="130">
        <v>39.161999999999999</v>
      </c>
      <c r="H50" s="129">
        <v>34577300</v>
      </c>
      <c r="I50" s="129">
        <v>3</v>
      </c>
    </row>
    <row r="51" spans="1:9">
      <c r="A51" s="129" t="s">
        <v>246</v>
      </c>
      <c r="B51" s="127" t="s">
        <v>178</v>
      </c>
      <c r="C51" s="127" t="s">
        <v>247</v>
      </c>
      <c r="D51" s="129" t="s">
        <v>8</v>
      </c>
      <c r="E51" s="129" t="s">
        <v>117</v>
      </c>
      <c r="F51" s="138" t="s">
        <v>110</v>
      </c>
      <c r="G51" s="130">
        <v>38.961999999999996</v>
      </c>
      <c r="H51" s="129">
        <v>34586301</v>
      </c>
      <c r="I51" s="129">
        <v>3</v>
      </c>
    </row>
    <row r="52" spans="1:9">
      <c r="A52" s="129" t="s">
        <v>248</v>
      </c>
      <c r="B52" s="127" t="s">
        <v>178</v>
      </c>
      <c r="C52" s="127" t="s">
        <v>249</v>
      </c>
      <c r="D52" s="129" t="s">
        <v>8</v>
      </c>
      <c r="E52" s="129" t="s">
        <v>117</v>
      </c>
      <c r="F52" s="138" t="s">
        <v>110</v>
      </c>
      <c r="G52" s="130">
        <v>38.85</v>
      </c>
      <c r="H52" s="129">
        <v>34586001</v>
      </c>
      <c r="I52" s="129">
        <v>3</v>
      </c>
    </row>
    <row r="53" spans="1:9">
      <c r="A53" s="115" t="s">
        <v>424</v>
      </c>
      <c r="B53" s="115" t="s">
        <v>178</v>
      </c>
      <c r="C53" s="115" t="s">
        <v>454</v>
      </c>
      <c r="D53" s="129" t="s">
        <v>8</v>
      </c>
      <c r="E53" s="115" t="s">
        <v>117</v>
      </c>
      <c r="F53" s="138" t="s">
        <v>474</v>
      </c>
      <c r="G53" s="130">
        <v>38.934999999999995</v>
      </c>
      <c r="H53" s="115">
        <v>34577000</v>
      </c>
      <c r="I53" s="129" t="s">
        <v>474</v>
      </c>
    </row>
    <row r="54" spans="1:9">
      <c r="A54" s="129" t="s">
        <v>250</v>
      </c>
      <c r="B54" s="127" t="s">
        <v>178</v>
      </c>
      <c r="C54" s="127" t="s">
        <v>251</v>
      </c>
      <c r="D54" s="129" t="s">
        <v>8</v>
      </c>
      <c r="E54" s="129" t="s">
        <v>117</v>
      </c>
      <c r="F54" s="138" t="s">
        <v>110</v>
      </c>
      <c r="G54" s="130">
        <v>39.5</v>
      </c>
      <c r="H54" s="129">
        <v>34588501</v>
      </c>
      <c r="I54" s="129">
        <v>3</v>
      </c>
    </row>
    <row r="55" spans="1:9">
      <c r="A55" s="129" t="s">
        <v>252</v>
      </c>
      <c r="B55" s="127" t="s">
        <v>178</v>
      </c>
      <c r="C55" s="127" t="s">
        <v>253</v>
      </c>
      <c r="D55" s="129" t="s">
        <v>8</v>
      </c>
      <c r="E55" s="129" t="s">
        <v>117</v>
      </c>
      <c r="F55" s="138" t="s">
        <v>110</v>
      </c>
      <c r="G55" s="130">
        <v>39.192999999999998</v>
      </c>
      <c r="H55" s="129">
        <v>34583401</v>
      </c>
      <c r="I55" s="129">
        <v>3</v>
      </c>
    </row>
    <row r="56" spans="1:9">
      <c r="A56" s="129" t="s">
        <v>254</v>
      </c>
      <c r="B56" s="127" t="s">
        <v>178</v>
      </c>
      <c r="C56" s="127" t="s">
        <v>255</v>
      </c>
      <c r="D56" s="129" t="s">
        <v>8</v>
      </c>
      <c r="E56" s="129" t="s">
        <v>117</v>
      </c>
      <c r="F56" s="138" t="s">
        <v>110</v>
      </c>
      <c r="G56" s="130">
        <v>38.961999999999996</v>
      </c>
      <c r="H56" s="129">
        <v>34586301</v>
      </c>
      <c r="I56" s="129">
        <v>3</v>
      </c>
    </row>
    <row r="57" spans="1:9">
      <c r="A57" s="129" t="s">
        <v>256</v>
      </c>
      <c r="B57" s="127" t="s">
        <v>178</v>
      </c>
      <c r="C57" s="127" t="s">
        <v>257</v>
      </c>
      <c r="D57" s="129" t="s">
        <v>8</v>
      </c>
      <c r="E57" s="129" t="s">
        <v>117</v>
      </c>
      <c r="F57" s="138" t="s">
        <v>110</v>
      </c>
      <c r="G57" s="130">
        <v>38.841999999999999</v>
      </c>
      <c r="H57" s="129">
        <v>34587901</v>
      </c>
      <c r="I57" s="129">
        <v>3</v>
      </c>
    </row>
    <row r="58" spans="1:9">
      <c r="A58" s="115" t="s">
        <v>258</v>
      </c>
      <c r="B58" s="127" t="s">
        <v>178</v>
      </c>
      <c r="C58" s="127" t="s">
        <v>259</v>
      </c>
      <c r="D58" s="129" t="s">
        <v>8</v>
      </c>
      <c r="E58" s="129" t="s">
        <v>117</v>
      </c>
      <c r="F58" s="138" t="s">
        <v>110</v>
      </c>
      <c r="G58" s="130">
        <v>38.841999999999999</v>
      </c>
      <c r="H58" s="129">
        <v>34587901</v>
      </c>
      <c r="I58" s="129">
        <v>3</v>
      </c>
    </row>
    <row r="59" spans="1:9">
      <c r="A59" s="115" t="s">
        <v>414</v>
      </c>
      <c r="B59" s="115" t="s">
        <v>178</v>
      </c>
      <c r="C59" s="115" t="s">
        <v>444</v>
      </c>
      <c r="D59" s="129" t="s">
        <v>8</v>
      </c>
      <c r="E59" s="115" t="s">
        <v>117</v>
      </c>
      <c r="F59" s="138" t="s">
        <v>474</v>
      </c>
      <c r="G59" s="130">
        <v>38.936999999999998</v>
      </c>
      <c r="H59" s="115">
        <v>34588000</v>
      </c>
      <c r="I59" s="129" t="s">
        <v>474</v>
      </c>
    </row>
    <row r="60" spans="1:9">
      <c r="A60" s="115" t="s">
        <v>260</v>
      </c>
      <c r="B60" s="127" t="s">
        <v>178</v>
      </c>
      <c r="C60" s="127" t="s">
        <v>261</v>
      </c>
      <c r="D60" s="129" t="s">
        <v>8</v>
      </c>
      <c r="E60" s="129" t="s">
        <v>117</v>
      </c>
      <c r="F60" s="138" t="s">
        <v>110</v>
      </c>
      <c r="G60" s="130">
        <v>39.468999999999994</v>
      </c>
      <c r="H60" s="129">
        <v>34580601</v>
      </c>
      <c r="I60" s="129">
        <v>3</v>
      </c>
    </row>
    <row r="61" spans="1:9">
      <c r="A61" s="115" t="s">
        <v>262</v>
      </c>
      <c r="B61" s="127" t="s">
        <v>178</v>
      </c>
      <c r="C61" s="127" t="s">
        <v>263</v>
      </c>
      <c r="D61" s="129" t="s">
        <v>8</v>
      </c>
      <c r="E61" s="129" t="s">
        <v>117</v>
      </c>
      <c r="F61" s="138" t="s">
        <v>110</v>
      </c>
      <c r="G61" s="130">
        <v>39.125</v>
      </c>
      <c r="H61" s="129">
        <v>34588200</v>
      </c>
      <c r="I61" s="129">
        <v>3</v>
      </c>
    </row>
    <row r="62" spans="1:9">
      <c r="A62" s="115" t="s">
        <v>264</v>
      </c>
      <c r="B62" s="127" t="s">
        <v>178</v>
      </c>
      <c r="C62" s="127" t="s">
        <v>265</v>
      </c>
      <c r="D62" s="129" t="s">
        <v>8</v>
      </c>
      <c r="E62" s="129" t="s">
        <v>117</v>
      </c>
      <c r="F62" s="138" t="s">
        <v>110</v>
      </c>
      <c r="G62" s="130">
        <v>38.896000000000001</v>
      </c>
      <c r="H62" s="129">
        <v>34588301</v>
      </c>
      <c r="I62" s="129">
        <v>3</v>
      </c>
    </row>
    <row r="63" spans="1:9">
      <c r="A63" s="115" t="s">
        <v>484</v>
      </c>
      <c r="B63" s="127" t="s">
        <v>178</v>
      </c>
      <c r="C63" s="127" t="s">
        <v>485</v>
      </c>
      <c r="D63" s="129" t="s">
        <v>8</v>
      </c>
      <c r="E63" s="129" t="s">
        <v>117</v>
      </c>
      <c r="F63" s="138" t="s">
        <v>474</v>
      </c>
      <c r="G63" s="130">
        <v>39.192999999999998</v>
      </c>
      <c r="H63" s="129">
        <v>34583401</v>
      </c>
      <c r="I63" s="129"/>
    </row>
    <row r="64" spans="1:9">
      <c r="A64" s="129" t="s">
        <v>266</v>
      </c>
      <c r="B64" s="127" t="s">
        <v>178</v>
      </c>
      <c r="C64" s="127" t="s">
        <v>267</v>
      </c>
      <c r="D64" s="129" t="s">
        <v>8</v>
      </c>
      <c r="E64" s="129" t="s">
        <v>117</v>
      </c>
      <c r="F64" s="138" t="s">
        <v>110</v>
      </c>
      <c r="G64" s="130">
        <v>38.836000000000006</v>
      </c>
      <c r="H64" s="129">
        <v>34584601</v>
      </c>
      <c r="I64" s="129">
        <v>3</v>
      </c>
    </row>
    <row r="65" spans="1:10">
      <c r="A65" s="115" t="s">
        <v>268</v>
      </c>
      <c r="B65" s="127" t="s">
        <v>178</v>
      </c>
      <c r="C65" s="127" t="s">
        <v>269</v>
      </c>
      <c r="D65" s="129" t="s">
        <v>8</v>
      </c>
      <c r="E65" s="129" t="s">
        <v>117</v>
      </c>
      <c r="F65" s="138" t="s">
        <v>110</v>
      </c>
      <c r="G65" s="130">
        <v>39.5</v>
      </c>
      <c r="H65" s="129">
        <v>34588501</v>
      </c>
      <c r="I65" s="129">
        <v>3</v>
      </c>
    </row>
    <row r="66" spans="1:10">
      <c r="A66" s="129" t="s">
        <v>270</v>
      </c>
      <c r="B66" s="127" t="s">
        <v>178</v>
      </c>
      <c r="C66" s="127" t="s">
        <v>271</v>
      </c>
      <c r="D66" s="129" t="s">
        <v>8</v>
      </c>
      <c r="E66" s="129" t="s">
        <v>117</v>
      </c>
      <c r="F66" s="138" t="s">
        <v>110</v>
      </c>
      <c r="G66" s="130">
        <v>39.239000000000004</v>
      </c>
      <c r="H66" s="129">
        <v>34582400</v>
      </c>
      <c r="I66" s="129">
        <v>3</v>
      </c>
    </row>
    <row r="67" spans="1:10">
      <c r="A67" s="115" t="s">
        <v>415</v>
      </c>
      <c r="B67" s="115" t="s">
        <v>178</v>
      </c>
      <c r="C67" s="115" t="s">
        <v>445</v>
      </c>
      <c r="D67" s="129" t="s">
        <v>8</v>
      </c>
      <c r="E67" s="115" t="s">
        <v>117</v>
      </c>
      <c r="F67" s="138" t="s">
        <v>474</v>
      </c>
      <c r="G67" s="130">
        <v>39.192999999999998</v>
      </c>
      <c r="H67" s="115">
        <v>34583401</v>
      </c>
      <c r="I67" s="129" t="s">
        <v>474</v>
      </c>
    </row>
    <row r="68" spans="1:10">
      <c r="A68" s="115" t="s">
        <v>422</v>
      </c>
      <c r="B68" s="115" t="s">
        <v>178</v>
      </c>
      <c r="C68" s="115" t="s">
        <v>452</v>
      </c>
      <c r="D68" s="129" t="s">
        <v>8</v>
      </c>
      <c r="E68" s="115" t="s">
        <v>473</v>
      </c>
      <c r="F68" s="138" t="s">
        <v>474</v>
      </c>
      <c r="G68" s="130">
        <v>39.146000000000001</v>
      </c>
      <c r="H68" s="115">
        <v>34496200</v>
      </c>
      <c r="I68" s="129" t="s">
        <v>474</v>
      </c>
    </row>
    <row r="69" spans="1:10">
      <c r="A69" s="129" t="s">
        <v>272</v>
      </c>
      <c r="B69" s="127" t="s">
        <v>178</v>
      </c>
      <c r="C69" s="127" t="s">
        <v>273</v>
      </c>
      <c r="D69" s="129" t="s">
        <v>8</v>
      </c>
      <c r="E69" s="129" t="s">
        <v>117</v>
      </c>
      <c r="F69" s="138" t="s">
        <v>110</v>
      </c>
      <c r="G69" s="130">
        <v>39.239000000000004</v>
      </c>
      <c r="H69" s="129">
        <v>34582400</v>
      </c>
      <c r="I69" s="129">
        <v>3</v>
      </c>
    </row>
    <row r="70" spans="1:10">
      <c r="A70" s="115" t="s">
        <v>274</v>
      </c>
      <c r="B70" s="127" t="s">
        <v>178</v>
      </c>
      <c r="C70" s="127" t="s">
        <v>275</v>
      </c>
      <c r="D70" s="129" t="s">
        <v>8</v>
      </c>
      <c r="E70" s="129" t="s">
        <v>117</v>
      </c>
      <c r="F70" s="138" t="s">
        <v>110</v>
      </c>
      <c r="G70" s="130">
        <v>39.239000000000004</v>
      </c>
      <c r="H70" s="129">
        <v>34582400</v>
      </c>
      <c r="I70" s="129">
        <v>3</v>
      </c>
    </row>
    <row r="71" spans="1:10">
      <c r="A71" s="129" t="s">
        <v>276</v>
      </c>
      <c r="B71" s="127" t="s">
        <v>178</v>
      </c>
      <c r="C71" s="127" t="s">
        <v>277</v>
      </c>
      <c r="D71" s="129" t="s">
        <v>8</v>
      </c>
      <c r="E71" s="129" t="s">
        <v>117</v>
      </c>
      <c r="F71" s="138" t="s">
        <v>110</v>
      </c>
      <c r="G71" s="130">
        <v>38.961999999999996</v>
      </c>
      <c r="H71" s="129">
        <v>34586301</v>
      </c>
      <c r="I71" s="129">
        <v>3</v>
      </c>
    </row>
    <row r="72" spans="1:10">
      <c r="A72" s="115" t="s">
        <v>413</v>
      </c>
      <c r="B72" s="115" t="s">
        <v>178</v>
      </c>
      <c r="C72" s="115" t="s">
        <v>443</v>
      </c>
      <c r="D72" s="129" t="s">
        <v>8</v>
      </c>
      <c r="E72" s="115" t="s">
        <v>117</v>
      </c>
      <c r="F72" s="138" t="s">
        <v>474</v>
      </c>
      <c r="G72" s="130">
        <v>38.936999999999998</v>
      </c>
      <c r="H72" s="115">
        <v>34588000</v>
      </c>
      <c r="I72" s="129" t="s">
        <v>474</v>
      </c>
    </row>
    <row r="73" spans="1:10">
      <c r="A73" s="115" t="s">
        <v>417</v>
      </c>
      <c r="B73" s="115" t="s">
        <v>178</v>
      </c>
      <c r="C73" s="115" t="s">
        <v>447</v>
      </c>
      <c r="D73" s="129" t="s">
        <v>8</v>
      </c>
      <c r="E73" s="129" t="s">
        <v>121</v>
      </c>
      <c r="F73" s="138" t="s">
        <v>474</v>
      </c>
      <c r="G73" s="130">
        <v>39.192999999999998</v>
      </c>
      <c r="H73" s="115">
        <v>34632901</v>
      </c>
      <c r="I73" s="129" t="s">
        <v>474</v>
      </c>
    </row>
    <row r="74" spans="1:10">
      <c r="A74" s="115" t="s">
        <v>278</v>
      </c>
      <c r="B74" s="127" t="s">
        <v>178</v>
      </c>
      <c r="C74" s="127" t="s">
        <v>279</v>
      </c>
      <c r="D74" s="129" t="s">
        <v>8</v>
      </c>
      <c r="E74" s="129" t="s">
        <v>117</v>
      </c>
      <c r="F74" s="138" t="s">
        <v>110</v>
      </c>
      <c r="G74" s="130">
        <v>38.838000000000001</v>
      </c>
      <c r="H74" s="129">
        <v>34588801</v>
      </c>
      <c r="I74" s="129">
        <v>3</v>
      </c>
    </row>
    <row r="75" spans="1:10">
      <c r="A75" s="115" t="s">
        <v>420</v>
      </c>
      <c r="B75" s="115" t="s">
        <v>178</v>
      </c>
      <c r="C75" s="115" t="s">
        <v>450</v>
      </c>
      <c r="D75" s="129" t="s">
        <v>8</v>
      </c>
      <c r="E75" s="129" t="s">
        <v>121</v>
      </c>
      <c r="F75" s="138" t="s">
        <v>474</v>
      </c>
      <c r="G75" s="130">
        <v>38.816000000000003</v>
      </c>
      <c r="H75" s="115">
        <v>34633101</v>
      </c>
      <c r="I75" s="129" t="s">
        <v>474</v>
      </c>
    </row>
    <row r="76" spans="1:10">
      <c r="A76" s="129" t="s">
        <v>280</v>
      </c>
      <c r="B76" s="127" t="s">
        <v>178</v>
      </c>
      <c r="C76" s="127" t="s">
        <v>281</v>
      </c>
      <c r="D76" s="129" t="s">
        <v>8</v>
      </c>
      <c r="E76" s="129" t="s">
        <v>117</v>
      </c>
      <c r="F76" s="138" t="s">
        <v>110</v>
      </c>
      <c r="G76" s="130">
        <v>39.468999999999994</v>
      </c>
      <c r="H76" s="129">
        <v>34580601</v>
      </c>
      <c r="I76" s="129">
        <v>3</v>
      </c>
    </row>
    <row r="77" spans="1:10">
      <c r="A77" s="129" t="s">
        <v>282</v>
      </c>
      <c r="B77" s="127" t="s">
        <v>178</v>
      </c>
      <c r="C77" s="127" t="s">
        <v>283</v>
      </c>
      <c r="D77" s="129" t="s">
        <v>8</v>
      </c>
      <c r="E77" s="129" t="s">
        <v>117</v>
      </c>
      <c r="F77" s="138" t="s">
        <v>110</v>
      </c>
      <c r="G77" s="130">
        <v>39.239000000000004</v>
      </c>
      <c r="H77" s="129">
        <v>34582400</v>
      </c>
      <c r="I77" s="129">
        <v>3</v>
      </c>
    </row>
    <row r="78" spans="1:10">
      <c r="A78" s="115" t="s">
        <v>416</v>
      </c>
      <c r="B78" s="115" t="s">
        <v>178</v>
      </c>
      <c r="C78" s="115" t="s">
        <v>446</v>
      </c>
      <c r="D78" s="129" t="s">
        <v>8</v>
      </c>
      <c r="E78" s="129" t="s">
        <v>121</v>
      </c>
      <c r="F78" s="138" t="s">
        <v>474</v>
      </c>
      <c r="G78" s="130">
        <v>39.192999999999998</v>
      </c>
      <c r="H78" s="115">
        <v>34632901</v>
      </c>
      <c r="I78" s="129" t="s">
        <v>474</v>
      </c>
    </row>
    <row r="79" spans="1:10">
      <c r="A79" s="115" t="s">
        <v>423</v>
      </c>
      <c r="B79" s="115" t="s">
        <v>178</v>
      </c>
      <c r="C79" s="115" t="s">
        <v>453</v>
      </c>
      <c r="D79" s="129" t="s">
        <v>8</v>
      </c>
      <c r="E79" s="115" t="s">
        <v>117</v>
      </c>
      <c r="F79" s="138" t="s">
        <v>474</v>
      </c>
      <c r="G79" s="130">
        <v>39.192999999999998</v>
      </c>
      <c r="H79" s="115">
        <v>34583401</v>
      </c>
      <c r="I79" s="129" t="s">
        <v>474</v>
      </c>
      <c r="J79" s="129"/>
    </row>
    <row r="80" spans="1:10">
      <c r="A80" s="129" t="s">
        <v>284</v>
      </c>
      <c r="B80" s="127" t="s">
        <v>178</v>
      </c>
      <c r="C80" s="127" t="s">
        <v>285</v>
      </c>
      <c r="D80" s="129" t="s">
        <v>8</v>
      </c>
      <c r="E80" s="129" t="s">
        <v>117</v>
      </c>
      <c r="F80" s="138" t="s">
        <v>110</v>
      </c>
      <c r="G80" s="130">
        <v>39.239000000000004</v>
      </c>
      <c r="H80" s="129">
        <v>34582400</v>
      </c>
      <c r="I80" s="129">
        <v>3</v>
      </c>
      <c r="J80" s="129"/>
    </row>
    <row r="81" spans="1:10">
      <c r="A81" s="115" t="s">
        <v>286</v>
      </c>
      <c r="B81" s="127" t="s">
        <v>178</v>
      </c>
      <c r="C81" s="127" t="s">
        <v>287</v>
      </c>
      <c r="D81" s="129" t="s">
        <v>8</v>
      </c>
      <c r="E81" s="129" t="s">
        <v>117</v>
      </c>
      <c r="F81" s="138" t="s">
        <v>110</v>
      </c>
      <c r="G81" s="130">
        <v>39.152000000000001</v>
      </c>
      <c r="H81" s="129">
        <v>34588901</v>
      </c>
      <c r="I81" s="129">
        <v>3</v>
      </c>
      <c r="J81" s="129"/>
    </row>
    <row r="82" spans="1:10" s="129" customFormat="1">
      <c r="A82" s="129" t="s">
        <v>288</v>
      </c>
      <c r="B82" s="127" t="s">
        <v>178</v>
      </c>
      <c r="C82" s="127" t="s">
        <v>289</v>
      </c>
      <c r="D82" s="129" t="s">
        <v>8</v>
      </c>
      <c r="E82" s="129" t="s">
        <v>117</v>
      </c>
      <c r="F82" s="138" t="s">
        <v>110</v>
      </c>
      <c r="G82" s="130">
        <v>38.856999999999999</v>
      </c>
      <c r="H82" s="129">
        <v>34586401</v>
      </c>
      <c r="I82" s="129">
        <v>3</v>
      </c>
    </row>
    <row r="83" spans="1:10" s="129" customFormat="1">
      <c r="A83" s="129" t="s">
        <v>290</v>
      </c>
      <c r="B83" s="127" t="s">
        <v>178</v>
      </c>
      <c r="C83" s="127" t="s">
        <v>291</v>
      </c>
      <c r="D83" s="129" t="s">
        <v>8</v>
      </c>
      <c r="E83" s="129" t="s">
        <v>117</v>
      </c>
      <c r="F83" s="138" t="s">
        <v>110</v>
      </c>
      <c r="G83" s="130">
        <v>39.010999999999996</v>
      </c>
      <c r="H83" s="129">
        <v>34585900</v>
      </c>
      <c r="I83" s="129">
        <v>3</v>
      </c>
    </row>
    <row r="84" spans="1:10" s="129" customFormat="1">
      <c r="A84" s="129" t="s">
        <v>292</v>
      </c>
      <c r="B84" s="127" t="s">
        <v>178</v>
      </c>
      <c r="C84" s="127" t="s">
        <v>293</v>
      </c>
      <c r="D84" s="129" t="s">
        <v>8</v>
      </c>
      <c r="E84" s="129" t="s">
        <v>117</v>
      </c>
      <c r="F84" s="138" t="s">
        <v>110</v>
      </c>
      <c r="G84" s="130">
        <v>38.85</v>
      </c>
      <c r="H84" s="129">
        <v>34586001</v>
      </c>
      <c r="I84" s="129">
        <v>3</v>
      </c>
    </row>
    <row r="85" spans="1:10" s="129" customFormat="1">
      <c r="A85" s="115" t="s">
        <v>440</v>
      </c>
      <c r="B85" s="115" t="s">
        <v>294</v>
      </c>
      <c r="C85" s="115" t="s">
        <v>470</v>
      </c>
      <c r="D85" s="129" t="s">
        <v>8</v>
      </c>
      <c r="E85" s="115" t="s">
        <v>117</v>
      </c>
      <c r="F85" s="138" t="s">
        <v>474</v>
      </c>
      <c r="G85" s="130">
        <v>39.470999999999997</v>
      </c>
      <c r="H85" s="115">
        <v>34573700</v>
      </c>
      <c r="I85" s="129" t="s">
        <v>474</v>
      </c>
    </row>
    <row r="86" spans="1:10" s="129" customFormat="1">
      <c r="A86" s="115" t="s">
        <v>118</v>
      </c>
      <c r="B86" s="127" t="s">
        <v>294</v>
      </c>
      <c r="C86" s="127" t="s">
        <v>295</v>
      </c>
      <c r="D86" s="129" t="s">
        <v>8</v>
      </c>
      <c r="E86" s="129" t="s">
        <v>117</v>
      </c>
      <c r="F86" s="138" t="s">
        <v>110</v>
      </c>
      <c r="G86" s="130">
        <v>39.268999999999998</v>
      </c>
      <c r="H86" s="129">
        <v>34546201</v>
      </c>
      <c r="I86" s="129">
        <v>3</v>
      </c>
    </row>
    <row r="87" spans="1:10" s="129" customFormat="1">
      <c r="A87" s="115" t="s">
        <v>438</v>
      </c>
      <c r="B87" s="115" t="s">
        <v>294</v>
      </c>
      <c r="C87" s="115" t="s">
        <v>468</v>
      </c>
      <c r="D87" s="129" t="s">
        <v>8</v>
      </c>
      <c r="E87" s="115" t="s">
        <v>117</v>
      </c>
      <c r="F87" s="138" t="s">
        <v>474</v>
      </c>
      <c r="G87" s="130">
        <v>39.152000000000001</v>
      </c>
      <c r="H87" s="115">
        <v>34578300</v>
      </c>
      <c r="I87" s="129" t="s">
        <v>474</v>
      </c>
    </row>
    <row r="88" spans="1:10">
      <c r="A88" s="115" t="s">
        <v>120</v>
      </c>
      <c r="B88" s="127" t="s">
        <v>294</v>
      </c>
      <c r="C88" s="127" t="s">
        <v>296</v>
      </c>
      <c r="D88" s="129" t="s">
        <v>8</v>
      </c>
      <c r="E88" s="129" t="s">
        <v>117</v>
      </c>
      <c r="F88" s="138" t="s">
        <v>110</v>
      </c>
      <c r="G88" s="130">
        <v>39.215000000000003</v>
      </c>
      <c r="H88" s="129">
        <v>34549500</v>
      </c>
      <c r="I88" s="129">
        <v>3</v>
      </c>
      <c r="J88" s="129"/>
    </row>
    <row r="89" spans="1:10">
      <c r="A89" s="115" t="s">
        <v>154</v>
      </c>
      <c r="B89" s="127" t="s">
        <v>294</v>
      </c>
      <c r="C89" s="127" t="s">
        <v>297</v>
      </c>
      <c r="D89" s="129" t="s">
        <v>8</v>
      </c>
      <c r="E89" s="129" t="s">
        <v>117</v>
      </c>
      <c r="F89" s="138" t="s">
        <v>110</v>
      </c>
      <c r="G89" s="130">
        <v>39.239999999999995</v>
      </c>
      <c r="H89" s="129">
        <v>34574901</v>
      </c>
      <c r="I89" s="129">
        <v>3</v>
      </c>
      <c r="J89" s="129"/>
    </row>
    <row r="90" spans="1:10" s="129" customFormat="1">
      <c r="A90" s="115" t="s">
        <v>154</v>
      </c>
      <c r="B90" s="115" t="s">
        <v>294</v>
      </c>
      <c r="C90" s="95" t="s">
        <v>297</v>
      </c>
      <c r="D90" s="129" t="s">
        <v>8</v>
      </c>
      <c r="E90" s="115" t="s">
        <v>117</v>
      </c>
      <c r="F90" s="115" t="s">
        <v>474</v>
      </c>
      <c r="G90" s="130">
        <v>38.987000000000002</v>
      </c>
      <c r="H90" s="129">
        <v>34569700</v>
      </c>
      <c r="I90" s="129" t="s">
        <v>474</v>
      </c>
    </row>
    <row r="91" spans="1:10">
      <c r="A91" s="115" t="s">
        <v>122</v>
      </c>
      <c r="B91" s="127" t="s">
        <v>294</v>
      </c>
      <c r="C91" s="127" t="s">
        <v>298</v>
      </c>
      <c r="D91" s="129" t="s">
        <v>8</v>
      </c>
      <c r="E91" s="129" t="s">
        <v>117</v>
      </c>
      <c r="F91" s="138" t="s">
        <v>110</v>
      </c>
      <c r="G91" s="130">
        <v>39.495000000000005</v>
      </c>
      <c r="H91" s="129">
        <v>34579600</v>
      </c>
      <c r="I91" s="129">
        <v>3</v>
      </c>
      <c r="J91" s="129"/>
    </row>
    <row r="92" spans="1:10">
      <c r="A92" s="115" t="s">
        <v>155</v>
      </c>
      <c r="B92" s="127" t="s">
        <v>294</v>
      </c>
      <c r="C92" s="127" t="s">
        <v>299</v>
      </c>
      <c r="D92" s="129" t="s">
        <v>8</v>
      </c>
      <c r="E92" s="129" t="s">
        <v>117</v>
      </c>
      <c r="F92" s="138" t="s">
        <v>110</v>
      </c>
      <c r="G92" s="130">
        <v>39.1</v>
      </c>
      <c r="H92" s="129">
        <v>34542901</v>
      </c>
      <c r="I92" s="129">
        <v>3</v>
      </c>
      <c r="J92" s="129"/>
    </row>
    <row r="93" spans="1:10">
      <c r="A93" s="115" t="s">
        <v>156</v>
      </c>
      <c r="B93" s="127" t="s">
        <v>294</v>
      </c>
      <c r="C93" s="127" t="s">
        <v>300</v>
      </c>
      <c r="D93" s="129" t="s">
        <v>8</v>
      </c>
      <c r="E93" s="129" t="s">
        <v>117</v>
      </c>
      <c r="F93" s="138" t="s">
        <v>110</v>
      </c>
      <c r="G93" s="130">
        <v>39.484999999999999</v>
      </c>
      <c r="H93" s="129">
        <v>34577201</v>
      </c>
      <c r="I93" s="129">
        <v>3</v>
      </c>
      <c r="J93" s="129"/>
    </row>
    <row r="94" spans="1:10">
      <c r="A94" s="115" t="s">
        <v>157</v>
      </c>
      <c r="B94" s="127" t="s">
        <v>294</v>
      </c>
      <c r="C94" s="127" t="s">
        <v>301</v>
      </c>
      <c r="D94" s="129" t="s">
        <v>8</v>
      </c>
      <c r="E94" s="129" t="s">
        <v>117</v>
      </c>
      <c r="F94" s="138" t="s">
        <v>110</v>
      </c>
      <c r="G94" s="130">
        <v>39.125999999999998</v>
      </c>
      <c r="H94" s="129">
        <v>34575301</v>
      </c>
      <c r="I94" s="129">
        <v>3</v>
      </c>
      <c r="J94" s="129"/>
    </row>
    <row r="95" spans="1:10">
      <c r="A95" s="115" t="s">
        <v>158</v>
      </c>
      <c r="B95" s="127" t="s">
        <v>294</v>
      </c>
      <c r="C95" s="127" t="s">
        <v>302</v>
      </c>
      <c r="D95" s="129" t="s">
        <v>8</v>
      </c>
      <c r="E95" s="129" t="s">
        <v>117</v>
      </c>
      <c r="F95" s="138" t="s">
        <v>110</v>
      </c>
      <c r="G95" s="130">
        <v>39.476999999999997</v>
      </c>
      <c r="H95" s="129">
        <v>34575401</v>
      </c>
      <c r="I95" s="129">
        <v>3</v>
      </c>
      <c r="J95" s="129"/>
    </row>
    <row r="96" spans="1:10">
      <c r="A96" s="115" t="s">
        <v>303</v>
      </c>
      <c r="B96" s="127" t="s">
        <v>294</v>
      </c>
      <c r="C96" s="127" t="s">
        <v>304</v>
      </c>
      <c r="D96" s="129" t="s">
        <v>8</v>
      </c>
      <c r="E96" s="129" t="s">
        <v>117</v>
      </c>
      <c r="F96" s="138" t="s">
        <v>110</v>
      </c>
      <c r="G96" s="130">
        <v>39.215000000000003</v>
      </c>
      <c r="H96" s="129">
        <v>34549500</v>
      </c>
      <c r="I96" s="129">
        <v>3</v>
      </c>
    </row>
    <row r="97" spans="1:9">
      <c r="A97" s="115" t="s">
        <v>159</v>
      </c>
      <c r="B97" s="127" t="s">
        <v>294</v>
      </c>
      <c r="C97" s="127" t="s">
        <v>305</v>
      </c>
      <c r="D97" s="129" t="s">
        <v>8</v>
      </c>
      <c r="E97" s="129" t="s">
        <v>117</v>
      </c>
      <c r="F97" s="138" t="s">
        <v>110</v>
      </c>
      <c r="G97" s="130">
        <v>39.417999999999999</v>
      </c>
      <c r="H97" s="129">
        <v>34575501</v>
      </c>
      <c r="I97" s="129">
        <v>3</v>
      </c>
    </row>
    <row r="98" spans="1:9">
      <c r="A98" s="115" t="s">
        <v>160</v>
      </c>
      <c r="B98" s="127" t="s">
        <v>294</v>
      </c>
      <c r="C98" s="127" t="s">
        <v>306</v>
      </c>
      <c r="D98" s="129" t="s">
        <v>8</v>
      </c>
      <c r="E98" s="129" t="s">
        <v>117</v>
      </c>
      <c r="F98" s="138" t="s">
        <v>110</v>
      </c>
      <c r="G98" s="130">
        <v>39.259</v>
      </c>
      <c r="H98" s="129">
        <v>34575901</v>
      </c>
      <c r="I98" s="129">
        <v>3</v>
      </c>
    </row>
    <row r="99" spans="1:9">
      <c r="A99" s="115" t="s">
        <v>161</v>
      </c>
      <c r="B99" s="127" t="s">
        <v>294</v>
      </c>
      <c r="C99" s="127" t="s">
        <v>307</v>
      </c>
      <c r="D99" s="129" t="s">
        <v>8</v>
      </c>
      <c r="E99" s="129" t="s">
        <v>117</v>
      </c>
      <c r="F99" s="138" t="s">
        <v>110</v>
      </c>
      <c r="G99" s="130">
        <v>39.254999999999995</v>
      </c>
      <c r="H99" s="129">
        <v>34551200</v>
      </c>
      <c r="I99" s="129">
        <v>3</v>
      </c>
    </row>
    <row r="100" spans="1:9">
      <c r="A100" s="115" t="s">
        <v>123</v>
      </c>
      <c r="B100" s="127" t="s">
        <v>294</v>
      </c>
      <c r="C100" s="127" t="s">
        <v>308</v>
      </c>
      <c r="D100" s="129" t="s">
        <v>8</v>
      </c>
      <c r="E100" s="129" t="s">
        <v>117</v>
      </c>
      <c r="F100" s="138" t="s">
        <v>110</v>
      </c>
      <c r="G100" s="130">
        <v>39.215000000000003</v>
      </c>
      <c r="H100" s="129">
        <v>34549500</v>
      </c>
      <c r="I100" s="129">
        <v>3</v>
      </c>
    </row>
    <row r="101" spans="1:9">
      <c r="A101" s="115" t="s">
        <v>488</v>
      </c>
      <c r="B101" s="127" t="s">
        <v>294</v>
      </c>
      <c r="C101" s="127" t="s">
        <v>489</v>
      </c>
      <c r="D101" s="129" t="s">
        <v>8</v>
      </c>
      <c r="E101" s="129" t="s">
        <v>117</v>
      </c>
      <c r="F101" s="138" t="s">
        <v>474</v>
      </c>
      <c r="G101" s="130">
        <v>39.475999999999999</v>
      </c>
      <c r="H101" s="129">
        <v>34561000</v>
      </c>
      <c r="I101" s="129" t="s">
        <v>474</v>
      </c>
    </row>
    <row r="102" spans="1:9">
      <c r="A102" s="115" t="s">
        <v>124</v>
      </c>
      <c r="B102" s="127" t="s">
        <v>294</v>
      </c>
      <c r="C102" s="127" t="s">
        <v>309</v>
      </c>
      <c r="D102" s="129" t="s">
        <v>8</v>
      </c>
      <c r="E102" s="129" t="s">
        <v>117</v>
      </c>
      <c r="F102" s="138" t="s">
        <v>110</v>
      </c>
      <c r="G102" s="130">
        <v>39.122999999999998</v>
      </c>
      <c r="H102" s="129">
        <v>34580800</v>
      </c>
      <c r="I102" s="129">
        <v>3</v>
      </c>
    </row>
    <row r="103" spans="1:9">
      <c r="A103" s="115" t="s">
        <v>310</v>
      </c>
      <c r="B103" s="127" t="s">
        <v>294</v>
      </c>
      <c r="C103" s="127" t="s">
        <v>311</v>
      </c>
      <c r="D103" s="129" t="s">
        <v>8</v>
      </c>
      <c r="E103" s="129" t="s">
        <v>117</v>
      </c>
      <c r="F103" s="138" t="s">
        <v>110</v>
      </c>
      <c r="G103" s="130">
        <v>39.215000000000003</v>
      </c>
      <c r="H103" s="129">
        <v>34549500</v>
      </c>
      <c r="I103" s="129">
        <v>3</v>
      </c>
    </row>
    <row r="104" spans="1:9">
      <c r="A104" s="115" t="s">
        <v>125</v>
      </c>
      <c r="B104" s="127" t="s">
        <v>294</v>
      </c>
      <c r="C104" s="127" t="s">
        <v>312</v>
      </c>
      <c r="D104" s="129" t="s">
        <v>8</v>
      </c>
      <c r="E104" s="129" t="s">
        <v>117</v>
      </c>
      <c r="F104" s="138" t="s">
        <v>110</v>
      </c>
      <c r="G104" s="130">
        <v>39.232000000000006</v>
      </c>
      <c r="H104" s="129">
        <v>34577400</v>
      </c>
      <c r="I104" s="129">
        <v>3</v>
      </c>
    </row>
    <row r="105" spans="1:9">
      <c r="A105" s="115" t="s">
        <v>428</v>
      </c>
      <c r="B105" s="115" t="s">
        <v>294</v>
      </c>
      <c r="C105" s="115" t="s">
        <v>458</v>
      </c>
      <c r="D105" s="129" t="s">
        <v>8</v>
      </c>
      <c r="E105" s="115" t="s">
        <v>117</v>
      </c>
      <c r="F105" s="138" t="s">
        <v>474</v>
      </c>
      <c r="G105" s="130">
        <v>39.256999999999998</v>
      </c>
      <c r="H105" s="115">
        <v>34542200</v>
      </c>
      <c r="I105" s="129" t="s">
        <v>474</v>
      </c>
    </row>
    <row r="106" spans="1:9">
      <c r="A106" s="115" t="s">
        <v>431</v>
      </c>
      <c r="B106" s="115" t="s">
        <v>294</v>
      </c>
      <c r="C106" s="115" t="s">
        <v>461</v>
      </c>
      <c r="D106" s="129" t="s">
        <v>8</v>
      </c>
      <c r="E106" s="115" t="s">
        <v>117</v>
      </c>
      <c r="F106" s="138" t="s">
        <v>474</v>
      </c>
      <c r="G106" s="130">
        <v>39.256999999999998</v>
      </c>
      <c r="H106" s="115">
        <v>34542200</v>
      </c>
      <c r="I106" s="129" t="s">
        <v>474</v>
      </c>
    </row>
    <row r="107" spans="1:9">
      <c r="A107" s="115" t="s">
        <v>126</v>
      </c>
      <c r="B107" s="127" t="s">
        <v>294</v>
      </c>
      <c r="C107" s="127" t="s">
        <v>313</v>
      </c>
      <c r="D107" s="129" t="s">
        <v>8</v>
      </c>
      <c r="E107" s="129" t="s">
        <v>117</v>
      </c>
      <c r="F107" s="138" t="s">
        <v>110</v>
      </c>
      <c r="G107" s="130">
        <v>39.268999999999998</v>
      </c>
      <c r="H107" s="129">
        <v>34546201</v>
      </c>
      <c r="I107" s="129">
        <v>3</v>
      </c>
    </row>
    <row r="108" spans="1:9">
      <c r="A108" s="115" t="s">
        <v>314</v>
      </c>
      <c r="B108" s="127" t="s">
        <v>294</v>
      </c>
      <c r="C108" s="127" t="s">
        <v>315</v>
      </c>
      <c r="D108" s="129" t="s">
        <v>8</v>
      </c>
      <c r="E108" s="129" t="s">
        <v>117</v>
      </c>
      <c r="F108" s="138" t="s">
        <v>110</v>
      </c>
      <c r="G108" s="130">
        <v>39.484999999999999</v>
      </c>
      <c r="H108" s="129">
        <v>34577201</v>
      </c>
      <c r="I108" s="129">
        <v>3</v>
      </c>
    </row>
    <row r="109" spans="1:9">
      <c r="A109" s="115" t="s">
        <v>127</v>
      </c>
      <c r="B109" s="127" t="s">
        <v>294</v>
      </c>
      <c r="C109" s="127" t="s">
        <v>316</v>
      </c>
      <c r="D109" s="129" t="s">
        <v>8</v>
      </c>
      <c r="E109" s="129" t="s">
        <v>117</v>
      </c>
      <c r="F109" s="138" t="s">
        <v>110</v>
      </c>
      <c r="G109" s="130">
        <v>39.268999999999998</v>
      </c>
      <c r="H109" s="129">
        <v>34546201</v>
      </c>
      <c r="I109" s="129">
        <v>3</v>
      </c>
    </row>
    <row r="110" spans="1:9">
      <c r="A110" s="115" t="s">
        <v>128</v>
      </c>
      <c r="B110" s="127" t="s">
        <v>294</v>
      </c>
      <c r="C110" s="127" t="s">
        <v>481</v>
      </c>
      <c r="D110" s="129" t="s">
        <v>8</v>
      </c>
      <c r="E110" s="129" t="s">
        <v>117</v>
      </c>
      <c r="F110" s="138" t="s">
        <v>474</v>
      </c>
      <c r="G110" s="130">
        <v>39.161999999999999</v>
      </c>
      <c r="H110" s="129">
        <v>34577300</v>
      </c>
      <c r="I110" s="129" t="s">
        <v>474</v>
      </c>
    </row>
    <row r="111" spans="1:9">
      <c r="A111" s="115" t="s">
        <v>129</v>
      </c>
      <c r="B111" s="127" t="s">
        <v>294</v>
      </c>
      <c r="C111" s="127" t="s">
        <v>317</v>
      </c>
      <c r="D111" s="129" t="s">
        <v>8</v>
      </c>
      <c r="E111" s="129" t="s">
        <v>117</v>
      </c>
      <c r="F111" s="138" t="s">
        <v>110</v>
      </c>
      <c r="G111" s="130">
        <v>39.232000000000006</v>
      </c>
      <c r="H111" s="129">
        <v>34577400</v>
      </c>
      <c r="I111" s="129">
        <v>3</v>
      </c>
    </row>
    <row r="112" spans="1:9">
      <c r="A112" s="115" t="s">
        <v>435</v>
      </c>
      <c r="B112" s="115" t="s">
        <v>294</v>
      </c>
      <c r="C112" s="115" t="s">
        <v>465</v>
      </c>
      <c r="D112" s="129" t="s">
        <v>8</v>
      </c>
      <c r="E112" s="115" t="s">
        <v>117</v>
      </c>
      <c r="F112" s="138" t="s">
        <v>474</v>
      </c>
      <c r="G112" s="130">
        <v>39.268999999999998</v>
      </c>
      <c r="H112" s="115">
        <v>34546201</v>
      </c>
      <c r="I112" s="129" t="s">
        <v>474</v>
      </c>
    </row>
    <row r="113" spans="1:9">
      <c r="A113" s="115" t="s">
        <v>130</v>
      </c>
      <c r="B113" s="127" t="s">
        <v>294</v>
      </c>
      <c r="C113" s="127" t="s">
        <v>318</v>
      </c>
      <c r="D113" s="129" t="s">
        <v>8</v>
      </c>
      <c r="E113" s="129" t="s">
        <v>117</v>
      </c>
      <c r="F113" s="138" t="s">
        <v>110</v>
      </c>
      <c r="G113" s="130">
        <v>39.475999999999999</v>
      </c>
      <c r="H113" s="129">
        <v>34561000</v>
      </c>
      <c r="I113" s="129">
        <v>3</v>
      </c>
    </row>
    <row r="114" spans="1:9">
      <c r="A114" s="115" t="s">
        <v>162</v>
      </c>
      <c r="B114" s="127" t="s">
        <v>294</v>
      </c>
      <c r="C114" s="127" t="s">
        <v>319</v>
      </c>
      <c r="D114" s="129" t="s">
        <v>8</v>
      </c>
      <c r="E114" s="129" t="s">
        <v>117</v>
      </c>
      <c r="F114" s="138" t="s">
        <v>110</v>
      </c>
      <c r="G114" s="130">
        <v>39.268999999999998</v>
      </c>
      <c r="H114" s="129">
        <v>34546201</v>
      </c>
      <c r="I114" s="129">
        <v>3</v>
      </c>
    </row>
    <row r="115" spans="1:9">
      <c r="A115" s="115" t="s">
        <v>436</v>
      </c>
      <c r="B115" s="115" t="s">
        <v>294</v>
      </c>
      <c r="C115" s="115" t="s">
        <v>466</v>
      </c>
      <c r="D115" s="129" t="s">
        <v>8</v>
      </c>
      <c r="E115" s="115" t="s">
        <v>117</v>
      </c>
      <c r="F115" s="138" t="s">
        <v>474</v>
      </c>
      <c r="G115" s="130">
        <v>39.163999999999994</v>
      </c>
      <c r="H115" s="115">
        <v>34577601</v>
      </c>
      <c r="I115" s="129" t="s">
        <v>474</v>
      </c>
    </row>
    <row r="116" spans="1:9">
      <c r="A116" s="115" t="s">
        <v>131</v>
      </c>
      <c r="B116" s="127" t="s">
        <v>294</v>
      </c>
      <c r="C116" s="127" t="s">
        <v>320</v>
      </c>
      <c r="D116" s="129" t="s">
        <v>8</v>
      </c>
      <c r="E116" s="129" t="s">
        <v>117</v>
      </c>
      <c r="F116" s="138" t="s">
        <v>110</v>
      </c>
      <c r="G116" s="130">
        <v>39.224000000000004</v>
      </c>
      <c r="H116" s="129">
        <v>34577800</v>
      </c>
      <c r="I116" s="129">
        <v>3</v>
      </c>
    </row>
    <row r="117" spans="1:9">
      <c r="A117" s="115" t="s">
        <v>321</v>
      </c>
      <c r="B117" s="127" t="s">
        <v>294</v>
      </c>
      <c r="C117" s="127" t="s">
        <v>322</v>
      </c>
      <c r="D117" s="129" t="s">
        <v>8</v>
      </c>
      <c r="E117" s="129" t="s">
        <v>117</v>
      </c>
      <c r="F117" s="138" t="s">
        <v>110</v>
      </c>
      <c r="G117" s="130">
        <v>39.224000000000004</v>
      </c>
      <c r="H117" s="129">
        <v>34577800</v>
      </c>
      <c r="I117" s="129">
        <v>3</v>
      </c>
    </row>
    <row r="118" spans="1:9">
      <c r="A118" s="115" t="s">
        <v>323</v>
      </c>
      <c r="B118" s="127" t="s">
        <v>294</v>
      </c>
      <c r="C118" s="127" t="s">
        <v>324</v>
      </c>
      <c r="D118" s="129" t="s">
        <v>8</v>
      </c>
      <c r="E118" s="129" t="s">
        <v>117</v>
      </c>
      <c r="F118" s="138" t="s">
        <v>110</v>
      </c>
      <c r="G118" s="130">
        <v>39.122999999999998</v>
      </c>
      <c r="H118" s="129">
        <v>34580800</v>
      </c>
      <c r="I118" s="129">
        <v>3</v>
      </c>
    </row>
    <row r="119" spans="1:9">
      <c r="A119" s="115" t="s">
        <v>132</v>
      </c>
      <c r="B119" s="127" t="s">
        <v>294</v>
      </c>
      <c r="C119" s="127" t="s">
        <v>325</v>
      </c>
      <c r="D119" s="129" t="s">
        <v>8</v>
      </c>
      <c r="E119" s="129" t="s">
        <v>117</v>
      </c>
      <c r="F119" s="138" t="s">
        <v>110</v>
      </c>
      <c r="G119" s="130">
        <v>39.122999999999998</v>
      </c>
      <c r="H119" s="129">
        <v>34580800</v>
      </c>
      <c r="I119" s="129">
        <v>3</v>
      </c>
    </row>
    <row r="120" spans="1:9">
      <c r="A120" s="115" t="s">
        <v>133</v>
      </c>
      <c r="B120" s="127" t="s">
        <v>294</v>
      </c>
      <c r="C120" s="127" t="s">
        <v>326</v>
      </c>
      <c r="D120" s="129" t="s">
        <v>8</v>
      </c>
      <c r="E120" s="129" t="s">
        <v>117</v>
      </c>
      <c r="F120" s="138" t="s">
        <v>110</v>
      </c>
      <c r="G120" s="130">
        <v>39.400999999999996</v>
      </c>
      <c r="H120" s="129">
        <v>34578200</v>
      </c>
      <c r="I120" s="129">
        <v>3</v>
      </c>
    </row>
    <row r="121" spans="1:9">
      <c r="A121" s="115" t="s">
        <v>327</v>
      </c>
      <c r="B121" s="127" t="s">
        <v>294</v>
      </c>
      <c r="C121" s="127" t="s">
        <v>328</v>
      </c>
      <c r="D121" s="129" t="s">
        <v>8</v>
      </c>
      <c r="E121" s="129" t="s">
        <v>117</v>
      </c>
      <c r="F121" s="138" t="s">
        <v>110</v>
      </c>
      <c r="G121" s="130">
        <v>39.268999999999998</v>
      </c>
      <c r="H121" s="129">
        <v>34546201</v>
      </c>
      <c r="I121" s="129">
        <v>3</v>
      </c>
    </row>
    <row r="122" spans="1:9">
      <c r="A122" s="115" t="s">
        <v>329</v>
      </c>
      <c r="B122" s="127" t="s">
        <v>294</v>
      </c>
      <c r="C122" s="127" t="s">
        <v>330</v>
      </c>
      <c r="D122" s="129" t="s">
        <v>8</v>
      </c>
      <c r="E122" s="129" t="s">
        <v>117</v>
      </c>
      <c r="F122" s="138" t="s">
        <v>110</v>
      </c>
      <c r="G122" s="130">
        <v>39.268999999999998</v>
      </c>
      <c r="H122" s="129">
        <v>34546201</v>
      </c>
      <c r="I122" s="129"/>
    </row>
    <row r="123" spans="1:9">
      <c r="A123" s="115" t="s">
        <v>430</v>
      </c>
      <c r="B123" s="115" t="s">
        <v>294</v>
      </c>
      <c r="C123" s="115" t="s">
        <v>460</v>
      </c>
      <c r="D123" s="129" t="s">
        <v>8</v>
      </c>
      <c r="E123" s="115" t="s">
        <v>117</v>
      </c>
      <c r="F123" s="138" t="s">
        <v>474</v>
      </c>
      <c r="G123" s="130">
        <v>39.268999999999998</v>
      </c>
      <c r="H123" s="115">
        <v>34546201</v>
      </c>
      <c r="I123" s="129" t="s">
        <v>474</v>
      </c>
    </row>
    <row r="124" spans="1:9">
      <c r="A124" s="115" t="s">
        <v>163</v>
      </c>
      <c r="B124" s="127" t="s">
        <v>294</v>
      </c>
      <c r="C124" s="127" t="s">
        <v>331</v>
      </c>
      <c r="D124" s="129" t="s">
        <v>8</v>
      </c>
      <c r="E124" s="129" t="s">
        <v>117</v>
      </c>
      <c r="F124" s="138" t="s">
        <v>110</v>
      </c>
      <c r="G124" s="130">
        <v>39.283999999999999</v>
      </c>
      <c r="H124" s="129">
        <v>34546501</v>
      </c>
      <c r="I124" s="129">
        <v>3</v>
      </c>
    </row>
    <row r="125" spans="1:9">
      <c r="A125" s="115" t="s">
        <v>164</v>
      </c>
      <c r="B125" s="127" t="s">
        <v>294</v>
      </c>
      <c r="C125" s="127" t="s">
        <v>332</v>
      </c>
      <c r="D125" s="129" t="s">
        <v>8</v>
      </c>
      <c r="E125" s="129" t="s">
        <v>117</v>
      </c>
      <c r="F125" s="138" t="s">
        <v>110</v>
      </c>
      <c r="G125" s="130">
        <v>39.256999999999998</v>
      </c>
      <c r="H125" s="129">
        <v>34542200</v>
      </c>
      <c r="I125" s="129">
        <v>3</v>
      </c>
    </row>
    <row r="126" spans="1:9">
      <c r="A126" s="115" t="s">
        <v>165</v>
      </c>
      <c r="B126" s="127" t="s">
        <v>294</v>
      </c>
      <c r="C126" s="127" t="s">
        <v>333</v>
      </c>
      <c r="D126" s="129" t="s">
        <v>8</v>
      </c>
      <c r="E126" s="129" t="s">
        <v>117</v>
      </c>
      <c r="F126" s="138" t="s">
        <v>110</v>
      </c>
      <c r="G126" s="130">
        <v>39.417999999999999</v>
      </c>
      <c r="H126" s="129">
        <v>34575501</v>
      </c>
      <c r="I126" s="129">
        <v>3</v>
      </c>
    </row>
    <row r="127" spans="1:9">
      <c r="A127" s="115" t="s">
        <v>135</v>
      </c>
      <c r="B127" s="127" t="s">
        <v>294</v>
      </c>
      <c r="C127" s="127" t="s">
        <v>334</v>
      </c>
      <c r="D127" s="129" t="s">
        <v>8</v>
      </c>
      <c r="E127" s="129" t="s">
        <v>117</v>
      </c>
      <c r="F127" s="138" t="s">
        <v>110</v>
      </c>
      <c r="G127" s="130">
        <v>39.122999999999998</v>
      </c>
      <c r="H127" s="129">
        <v>34580800</v>
      </c>
      <c r="I127" s="129">
        <v>3</v>
      </c>
    </row>
    <row r="128" spans="1:9">
      <c r="A128" s="115" t="s">
        <v>166</v>
      </c>
      <c r="B128" s="127" t="s">
        <v>294</v>
      </c>
      <c r="C128" s="127" t="s">
        <v>335</v>
      </c>
      <c r="D128" s="129" t="s">
        <v>8</v>
      </c>
      <c r="E128" s="129" t="s">
        <v>117</v>
      </c>
      <c r="F128" s="138" t="s">
        <v>110</v>
      </c>
      <c r="G128" s="130">
        <v>39.256999999999998</v>
      </c>
      <c r="H128" s="129">
        <v>34542200</v>
      </c>
      <c r="I128" s="129">
        <v>3</v>
      </c>
    </row>
    <row r="129" spans="1:9">
      <c r="A129" s="115" t="s">
        <v>437</v>
      </c>
      <c r="B129" s="115" t="s">
        <v>294</v>
      </c>
      <c r="C129" s="115" t="s">
        <v>467</v>
      </c>
      <c r="D129" s="129" t="s">
        <v>8</v>
      </c>
      <c r="E129" s="115" t="s">
        <v>117</v>
      </c>
      <c r="F129" s="138" t="s">
        <v>474</v>
      </c>
      <c r="G129" s="130">
        <v>39.470999999999997</v>
      </c>
      <c r="H129" s="115">
        <v>34573700</v>
      </c>
      <c r="I129" s="129" t="s">
        <v>474</v>
      </c>
    </row>
    <row r="130" spans="1:9">
      <c r="A130" s="115" t="s">
        <v>137</v>
      </c>
      <c r="B130" s="127" t="s">
        <v>294</v>
      </c>
      <c r="C130" s="127" t="s">
        <v>336</v>
      </c>
      <c r="D130" s="129" t="s">
        <v>8</v>
      </c>
      <c r="E130" s="129" t="s">
        <v>117</v>
      </c>
      <c r="F130" s="138" t="s">
        <v>110</v>
      </c>
      <c r="G130" s="130">
        <v>39.215000000000003</v>
      </c>
      <c r="H130" s="129">
        <v>34549500</v>
      </c>
      <c r="I130" s="129">
        <v>3</v>
      </c>
    </row>
    <row r="131" spans="1:9">
      <c r="A131" s="115" t="s">
        <v>337</v>
      </c>
      <c r="B131" s="127" t="s">
        <v>294</v>
      </c>
      <c r="C131" s="127" t="s">
        <v>338</v>
      </c>
      <c r="D131" s="129" t="s">
        <v>8</v>
      </c>
      <c r="E131" s="129" t="s">
        <v>117</v>
      </c>
      <c r="F131" s="138" t="s">
        <v>110</v>
      </c>
      <c r="G131" s="130">
        <v>39.305</v>
      </c>
      <c r="H131" s="129">
        <v>34548100</v>
      </c>
      <c r="I131" s="129">
        <v>3</v>
      </c>
    </row>
    <row r="132" spans="1:9">
      <c r="A132" s="115" t="s">
        <v>339</v>
      </c>
      <c r="B132" s="127" t="s">
        <v>294</v>
      </c>
      <c r="C132" s="127" t="s">
        <v>340</v>
      </c>
      <c r="D132" s="129" t="s">
        <v>8</v>
      </c>
      <c r="E132" s="129" t="s">
        <v>117</v>
      </c>
      <c r="F132" s="138" t="s">
        <v>110</v>
      </c>
      <c r="G132" s="130">
        <v>39.177999999999997</v>
      </c>
      <c r="H132" s="129">
        <v>34579401</v>
      </c>
      <c r="I132" s="129">
        <v>3</v>
      </c>
    </row>
    <row r="133" spans="1:9">
      <c r="A133" s="115" t="s">
        <v>439</v>
      </c>
      <c r="B133" s="115" t="s">
        <v>294</v>
      </c>
      <c r="C133" s="115" t="s">
        <v>469</v>
      </c>
      <c r="D133" s="129" t="s">
        <v>8</v>
      </c>
      <c r="E133" s="115" t="s">
        <v>117</v>
      </c>
      <c r="F133" s="138" t="s">
        <v>474</v>
      </c>
      <c r="G133" s="130">
        <v>39.495000000000005</v>
      </c>
      <c r="H133" s="115">
        <v>34579600</v>
      </c>
      <c r="I133" s="129" t="s">
        <v>474</v>
      </c>
    </row>
    <row r="134" spans="1:9">
      <c r="A134" s="115" t="s">
        <v>167</v>
      </c>
      <c r="B134" s="127" t="s">
        <v>294</v>
      </c>
      <c r="C134" s="127" t="s">
        <v>341</v>
      </c>
      <c r="D134" s="129" t="s">
        <v>8</v>
      </c>
      <c r="E134" s="129" t="s">
        <v>117</v>
      </c>
      <c r="F134" s="138" t="s">
        <v>110</v>
      </c>
      <c r="G134" s="130">
        <v>39.256999999999998</v>
      </c>
      <c r="H134" s="129">
        <v>34542200</v>
      </c>
      <c r="I134" s="129">
        <v>3</v>
      </c>
    </row>
    <row r="135" spans="1:9">
      <c r="A135" s="115" t="s">
        <v>168</v>
      </c>
      <c r="B135" s="127" t="s">
        <v>294</v>
      </c>
      <c r="C135" s="127" t="s">
        <v>342</v>
      </c>
      <c r="D135" s="129" t="s">
        <v>8</v>
      </c>
      <c r="E135" s="129" t="s">
        <v>117</v>
      </c>
      <c r="F135" s="138" t="s">
        <v>110</v>
      </c>
      <c r="G135" s="130">
        <v>39.190000000000005</v>
      </c>
      <c r="H135" s="129">
        <v>34579901</v>
      </c>
      <c r="I135" s="129">
        <v>3</v>
      </c>
    </row>
    <row r="136" spans="1:9">
      <c r="A136" s="115" t="s">
        <v>442</v>
      </c>
      <c r="B136" s="115" t="s">
        <v>294</v>
      </c>
      <c r="C136" s="115" t="s">
        <v>472</v>
      </c>
      <c r="D136" s="129" t="s">
        <v>8</v>
      </c>
      <c r="E136" s="115" t="s">
        <v>117</v>
      </c>
      <c r="F136" s="138" t="s">
        <v>474</v>
      </c>
      <c r="G136" s="130">
        <v>39.433999999999997</v>
      </c>
      <c r="H136" s="115">
        <v>34580000</v>
      </c>
      <c r="I136" s="129" t="s">
        <v>474</v>
      </c>
    </row>
    <row r="137" spans="1:9">
      <c r="A137" s="115" t="s">
        <v>138</v>
      </c>
      <c r="B137" s="127" t="s">
        <v>294</v>
      </c>
      <c r="C137" s="127" t="s">
        <v>343</v>
      </c>
      <c r="D137" s="129" t="s">
        <v>8</v>
      </c>
      <c r="E137" s="129" t="s">
        <v>117</v>
      </c>
      <c r="F137" s="138" t="s">
        <v>110</v>
      </c>
      <c r="G137" s="130">
        <v>39.215000000000003</v>
      </c>
      <c r="H137" s="129">
        <v>34549500</v>
      </c>
      <c r="I137" s="129">
        <v>3</v>
      </c>
    </row>
    <row r="138" spans="1:9">
      <c r="A138" s="115" t="s">
        <v>490</v>
      </c>
      <c r="B138" s="127" t="s">
        <v>294</v>
      </c>
      <c r="C138" s="127" t="s">
        <v>491</v>
      </c>
      <c r="D138" s="129" t="s">
        <v>8</v>
      </c>
      <c r="E138" s="129" t="s">
        <v>117</v>
      </c>
      <c r="F138" s="138" t="s">
        <v>474</v>
      </c>
      <c r="G138" s="130">
        <v>39.475999999999999</v>
      </c>
      <c r="H138" s="129">
        <v>34561000</v>
      </c>
      <c r="I138" s="129" t="s">
        <v>474</v>
      </c>
    </row>
    <row r="139" spans="1:9">
      <c r="A139" s="115" t="s">
        <v>139</v>
      </c>
      <c r="B139" s="127" t="s">
        <v>294</v>
      </c>
      <c r="C139" s="127" t="s">
        <v>344</v>
      </c>
      <c r="D139" s="129" t="s">
        <v>8</v>
      </c>
      <c r="E139" s="129" t="s">
        <v>117</v>
      </c>
      <c r="F139" s="138" t="s">
        <v>110</v>
      </c>
      <c r="G139" s="130">
        <v>39.268999999999998</v>
      </c>
      <c r="H139" s="129">
        <v>34546201</v>
      </c>
      <c r="I139" s="129">
        <v>3</v>
      </c>
    </row>
    <row r="140" spans="1:9">
      <c r="A140" s="115" t="s">
        <v>140</v>
      </c>
      <c r="B140" s="127" t="s">
        <v>294</v>
      </c>
      <c r="C140" s="127" t="s">
        <v>345</v>
      </c>
      <c r="D140" s="129" t="s">
        <v>8</v>
      </c>
      <c r="E140" s="129" t="s">
        <v>117</v>
      </c>
      <c r="F140" s="138" t="s">
        <v>110</v>
      </c>
      <c r="G140" s="130">
        <v>39.215000000000003</v>
      </c>
      <c r="H140" s="129">
        <v>34549500</v>
      </c>
      <c r="I140" s="129">
        <v>3</v>
      </c>
    </row>
    <row r="141" spans="1:9">
      <c r="A141" s="115" t="s">
        <v>141</v>
      </c>
      <c r="B141" s="127" t="s">
        <v>294</v>
      </c>
      <c r="C141" s="127" t="s">
        <v>346</v>
      </c>
      <c r="D141" s="129" t="s">
        <v>8</v>
      </c>
      <c r="E141" s="129" t="s">
        <v>117</v>
      </c>
      <c r="F141" s="138" t="s">
        <v>110</v>
      </c>
      <c r="G141" s="130">
        <v>39.215000000000003</v>
      </c>
      <c r="H141" s="129">
        <v>34549500</v>
      </c>
      <c r="I141" s="129">
        <v>3</v>
      </c>
    </row>
    <row r="142" spans="1:9">
      <c r="A142" s="115" t="s">
        <v>142</v>
      </c>
      <c r="B142" s="127" t="s">
        <v>294</v>
      </c>
      <c r="C142" s="127" t="s">
        <v>347</v>
      </c>
      <c r="D142" s="129" t="s">
        <v>8</v>
      </c>
      <c r="E142" s="129" t="s">
        <v>117</v>
      </c>
      <c r="F142" s="138" t="s">
        <v>110</v>
      </c>
      <c r="G142" s="130">
        <v>39.215000000000003</v>
      </c>
      <c r="H142" s="129">
        <v>34549500</v>
      </c>
      <c r="I142" s="129">
        <v>3</v>
      </c>
    </row>
    <row r="143" spans="1:9">
      <c r="A143" s="115" t="s">
        <v>348</v>
      </c>
      <c r="B143" s="127" t="s">
        <v>294</v>
      </c>
      <c r="C143" s="127" t="s">
        <v>349</v>
      </c>
      <c r="D143" s="129" t="s">
        <v>8</v>
      </c>
      <c r="E143" s="129" t="s">
        <v>117</v>
      </c>
      <c r="F143" s="138" t="s">
        <v>110</v>
      </c>
      <c r="G143" s="130">
        <v>39.268999999999998</v>
      </c>
      <c r="H143" s="129">
        <v>34546201</v>
      </c>
      <c r="I143" s="129">
        <v>3</v>
      </c>
    </row>
    <row r="144" spans="1:9">
      <c r="A144" s="115" t="s">
        <v>143</v>
      </c>
      <c r="B144" s="127" t="s">
        <v>294</v>
      </c>
      <c r="C144" s="127" t="s">
        <v>350</v>
      </c>
      <c r="D144" s="129" t="s">
        <v>8</v>
      </c>
      <c r="E144" s="129" t="s">
        <v>117</v>
      </c>
      <c r="F144" s="138" t="s">
        <v>110</v>
      </c>
      <c r="G144" s="130">
        <v>39.152000000000001</v>
      </c>
      <c r="H144" s="129">
        <v>34578300</v>
      </c>
      <c r="I144" s="129">
        <v>3</v>
      </c>
    </row>
    <row r="145" spans="1:9">
      <c r="A145" s="115" t="s">
        <v>144</v>
      </c>
      <c r="B145" s="127" t="s">
        <v>294</v>
      </c>
      <c r="C145" s="127" t="s">
        <v>351</v>
      </c>
      <c r="D145" s="129" t="s">
        <v>8</v>
      </c>
      <c r="E145" s="129" t="s">
        <v>117</v>
      </c>
      <c r="F145" s="138" t="s">
        <v>110</v>
      </c>
      <c r="G145" s="130">
        <v>39.122999999999998</v>
      </c>
      <c r="H145" s="129">
        <v>34580800</v>
      </c>
      <c r="I145" s="129">
        <v>3</v>
      </c>
    </row>
    <row r="146" spans="1:9">
      <c r="A146" s="115" t="s">
        <v>145</v>
      </c>
      <c r="B146" s="127" t="s">
        <v>294</v>
      </c>
      <c r="C146" s="127" t="s">
        <v>352</v>
      </c>
      <c r="D146" s="129" t="s">
        <v>8</v>
      </c>
      <c r="E146" s="129" t="s">
        <v>117</v>
      </c>
      <c r="F146" s="138" t="s">
        <v>110</v>
      </c>
      <c r="G146" s="130">
        <v>39.122999999999998</v>
      </c>
      <c r="H146" s="129">
        <v>34580800</v>
      </c>
      <c r="I146" s="129">
        <v>3</v>
      </c>
    </row>
    <row r="147" spans="1:9">
      <c r="A147" s="115" t="s">
        <v>169</v>
      </c>
      <c r="B147" s="127" t="s">
        <v>294</v>
      </c>
      <c r="C147" s="127" t="s">
        <v>353</v>
      </c>
      <c r="D147" s="129" t="s">
        <v>8</v>
      </c>
      <c r="E147" s="129" t="s">
        <v>117</v>
      </c>
      <c r="F147" s="138" t="s">
        <v>110</v>
      </c>
      <c r="G147" s="130">
        <v>39.156999999999996</v>
      </c>
      <c r="H147" s="129">
        <v>34581101</v>
      </c>
      <c r="I147" s="129">
        <v>3</v>
      </c>
    </row>
    <row r="148" spans="1:9">
      <c r="A148" s="115" t="s">
        <v>146</v>
      </c>
      <c r="B148" s="127" t="s">
        <v>294</v>
      </c>
      <c r="C148" s="127" t="s">
        <v>354</v>
      </c>
      <c r="D148" s="129" t="s">
        <v>8</v>
      </c>
      <c r="E148" s="129" t="s">
        <v>117</v>
      </c>
      <c r="F148" s="138" t="s">
        <v>110</v>
      </c>
      <c r="G148" s="130">
        <v>39.264000000000003</v>
      </c>
      <c r="H148" s="129">
        <v>34581201</v>
      </c>
      <c r="I148" s="129">
        <v>3</v>
      </c>
    </row>
    <row r="149" spans="1:9">
      <c r="A149" s="115" t="s">
        <v>170</v>
      </c>
      <c r="B149" s="127" t="s">
        <v>294</v>
      </c>
      <c r="C149" s="127" t="s">
        <v>355</v>
      </c>
      <c r="D149" s="129" t="s">
        <v>8</v>
      </c>
      <c r="E149" s="129" t="s">
        <v>117</v>
      </c>
      <c r="F149" s="138" t="s">
        <v>110</v>
      </c>
      <c r="G149" s="130">
        <v>39.475999999999999</v>
      </c>
      <c r="H149" s="129">
        <v>34561000</v>
      </c>
      <c r="I149" s="129">
        <v>3</v>
      </c>
    </row>
    <row r="150" spans="1:9">
      <c r="A150" s="115" t="s">
        <v>356</v>
      </c>
      <c r="B150" s="127" t="s">
        <v>294</v>
      </c>
      <c r="C150" s="127" t="s">
        <v>357</v>
      </c>
      <c r="D150" s="129" t="s">
        <v>8</v>
      </c>
      <c r="E150" s="129" t="s">
        <v>117</v>
      </c>
      <c r="F150" s="138" t="s">
        <v>110</v>
      </c>
      <c r="G150" s="130">
        <v>39.215000000000003</v>
      </c>
      <c r="H150" s="129">
        <v>34549500</v>
      </c>
      <c r="I150" s="129">
        <v>3</v>
      </c>
    </row>
    <row r="151" spans="1:9">
      <c r="A151" s="115" t="s">
        <v>147</v>
      </c>
      <c r="B151" s="127" t="s">
        <v>294</v>
      </c>
      <c r="C151" s="127" t="s">
        <v>358</v>
      </c>
      <c r="D151" s="129" t="s">
        <v>8</v>
      </c>
      <c r="E151" s="129" t="s">
        <v>117</v>
      </c>
      <c r="F151" s="138" t="s">
        <v>110</v>
      </c>
      <c r="G151" s="130">
        <v>39.241</v>
      </c>
      <c r="H151" s="129">
        <v>34581401</v>
      </c>
      <c r="I151" s="129">
        <v>3</v>
      </c>
    </row>
    <row r="152" spans="1:9">
      <c r="A152" s="115" t="s">
        <v>171</v>
      </c>
      <c r="B152" s="127" t="s">
        <v>294</v>
      </c>
      <c r="C152" s="127" t="s">
        <v>359</v>
      </c>
      <c r="D152" s="129" t="s">
        <v>8</v>
      </c>
      <c r="E152" s="129" t="s">
        <v>117</v>
      </c>
      <c r="F152" s="138" t="s">
        <v>110</v>
      </c>
      <c r="G152" s="130">
        <v>39.311</v>
      </c>
      <c r="H152" s="129">
        <v>34583700</v>
      </c>
      <c r="I152" s="129">
        <v>3</v>
      </c>
    </row>
    <row r="153" spans="1:9">
      <c r="A153" s="115" t="s">
        <v>360</v>
      </c>
      <c r="B153" s="127" t="s">
        <v>294</v>
      </c>
      <c r="C153" s="127" t="s">
        <v>361</v>
      </c>
      <c r="D153" s="129" t="s">
        <v>8</v>
      </c>
      <c r="E153" s="129" t="s">
        <v>117</v>
      </c>
      <c r="F153" s="138" t="s">
        <v>110</v>
      </c>
      <c r="G153" s="130">
        <v>39.495000000000005</v>
      </c>
      <c r="H153" s="129">
        <v>34579600</v>
      </c>
      <c r="I153" s="129">
        <v>3</v>
      </c>
    </row>
    <row r="154" spans="1:9">
      <c r="A154" s="225" t="s">
        <v>494</v>
      </c>
      <c r="B154" s="267" t="s">
        <v>294</v>
      </c>
      <c r="C154" s="243" t="s">
        <v>495</v>
      </c>
      <c r="D154" s="226" t="s">
        <v>8</v>
      </c>
      <c r="E154" s="226" t="s">
        <v>117</v>
      </c>
      <c r="F154" s="227" t="s">
        <v>474</v>
      </c>
      <c r="G154" s="228">
        <v>39.256999999999998</v>
      </c>
      <c r="H154" s="268">
        <v>34542200</v>
      </c>
      <c r="I154" s="226" t="s">
        <v>474</v>
      </c>
    </row>
    <row r="155" spans="1:9">
      <c r="A155" s="129" t="s">
        <v>172</v>
      </c>
      <c r="B155" s="127" t="s">
        <v>294</v>
      </c>
      <c r="C155" s="127" t="s">
        <v>362</v>
      </c>
      <c r="D155" s="129" t="s">
        <v>8</v>
      </c>
      <c r="E155" s="129" t="s">
        <v>117</v>
      </c>
      <c r="F155" s="138" t="s">
        <v>110</v>
      </c>
      <c r="G155" s="130">
        <v>39.256999999999998</v>
      </c>
      <c r="H155" s="129">
        <v>34542200</v>
      </c>
      <c r="I155" s="129">
        <v>3</v>
      </c>
    </row>
    <row r="156" spans="1:9">
      <c r="A156" s="115" t="s">
        <v>148</v>
      </c>
      <c r="B156" s="127" t="s">
        <v>294</v>
      </c>
      <c r="C156" s="127" t="s">
        <v>363</v>
      </c>
      <c r="D156" s="129" t="s">
        <v>8</v>
      </c>
      <c r="E156" s="129" t="s">
        <v>117</v>
      </c>
      <c r="F156" s="138" t="s">
        <v>110</v>
      </c>
      <c r="G156" s="130">
        <v>39.122999999999998</v>
      </c>
      <c r="H156" s="129">
        <v>34580800</v>
      </c>
      <c r="I156" s="129">
        <v>3</v>
      </c>
    </row>
    <row r="157" spans="1:9">
      <c r="A157" s="115" t="s">
        <v>364</v>
      </c>
      <c r="B157" s="127" t="s">
        <v>294</v>
      </c>
      <c r="C157" s="127" t="s">
        <v>365</v>
      </c>
      <c r="D157" s="129" t="s">
        <v>8</v>
      </c>
      <c r="E157" s="129" t="s">
        <v>117</v>
      </c>
      <c r="F157" s="138" t="s">
        <v>110</v>
      </c>
      <c r="G157" s="130">
        <v>39.215000000000003</v>
      </c>
      <c r="H157" s="129">
        <v>34549500</v>
      </c>
      <c r="I157" s="129">
        <v>3</v>
      </c>
    </row>
    <row r="158" spans="1:9">
      <c r="A158" s="115" t="s">
        <v>149</v>
      </c>
      <c r="B158" s="127" t="s">
        <v>294</v>
      </c>
      <c r="C158" s="127" t="s">
        <v>366</v>
      </c>
      <c r="D158" s="129" t="s">
        <v>8</v>
      </c>
      <c r="E158" s="129" t="s">
        <v>117</v>
      </c>
      <c r="F158" s="138" t="s">
        <v>110</v>
      </c>
      <c r="G158" s="130">
        <v>39.122999999999998</v>
      </c>
      <c r="H158" s="129">
        <v>34580800</v>
      </c>
      <c r="I158" s="129">
        <v>3</v>
      </c>
    </row>
    <row r="159" spans="1:9">
      <c r="A159" s="115" t="s">
        <v>173</v>
      </c>
      <c r="B159" s="127" t="s">
        <v>294</v>
      </c>
      <c r="C159" s="127" t="s">
        <v>367</v>
      </c>
      <c r="D159" s="129" t="s">
        <v>8</v>
      </c>
      <c r="E159" s="129" t="s">
        <v>117</v>
      </c>
      <c r="F159" s="138" t="s">
        <v>110</v>
      </c>
      <c r="G159" s="130">
        <v>39.254999999999995</v>
      </c>
      <c r="H159" s="129">
        <v>34551200</v>
      </c>
      <c r="I159" s="129">
        <v>3</v>
      </c>
    </row>
    <row r="160" spans="1:9">
      <c r="A160" s="115" t="s">
        <v>174</v>
      </c>
      <c r="B160" s="127" t="s">
        <v>294</v>
      </c>
      <c r="C160" s="127" t="s">
        <v>368</v>
      </c>
      <c r="D160" s="129" t="s">
        <v>8</v>
      </c>
      <c r="E160" s="129" t="s">
        <v>117</v>
      </c>
      <c r="F160" s="138" t="s">
        <v>110</v>
      </c>
      <c r="G160" s="130">
        <v>39.475999999999999</v>
      </c>
      <c r="H160" s="129">
        <v>34561000</v>
      </c>
      <c r="I160" s="129">
        <v>3</v>
      </c>
    </row>
    <row r="161" spans="1:9">
      <c r="A161" s="115" t="s">
        <v>150</v>
      </c>
      <c r="B161" s="127" t="s">
        <v>294</v>
      </c>
      <c r="C161" s="127" t="s">
        <v>369</v>
      </c>
      <c r="D161" s="129" t="s">
        <v>8</v>
      </c>
      <c r="E161" s="129" t="s">
        <v>117</v>
      </c>
      <c r="F161" s="138" t="s">
        <v>110</v>
      </c>
      <c r="G161" s="130">
        <v>39.122999999999998</v>
      </c>
      <c r="H161" s="129">
        <v>34580800</v>
      </c>
      <c r="I161" s="129">
        <v>3</v>
      </c>
    </row>
    <row r="162" spans="1:9">
      <c r="A162" s="115" t="s">
        <v>441</v>
      </c>
      <c r="B162" s="115" t="s">
        <v>294</v>
      </c>
      <c r="C162" s="115" t="s">
        <v>471</v>
      </c>
      <c r="D162" s="129" t="s">
        <v>8</v>
      </c>
      <c r="E162" s="115" t="s">
        <v>117</v>
      </c>
      <c r="F162" s="138" t="s">
        <v>474</v>
      </c>
      <c r="G162" s="130">
        <v>39.433999999999997</v>
      </c>
      <c r="H162" s="115">
        <v>34580000</v>
      </c>
      <c r="I162" s="129" t="s">
        <v>474</v>
      </c>
    </row>
    <row r="163" spans="1:9">
      <c r="A163" s="115" t="s">
        <v>433</v>
      </c>
      <c r="B163" s="115" t="s">
        <v>294</v>
      </c>
      <c r="C163" s="115" t="s">
        <v>463</v>
      </c>
      <c r="D163" s="129" t="s">
        <v>8</v>
      </c>
      <c r="E163" s="115" t="s">
        <v>117</v>
      </c>
      <c r="F163" s="138" t="s">
        <v>474</v>
      </c>
      <c r="G163" s="130">
        <v>39.215000000000003</v>
      </c>
      <c r="H163" s="115">
        <v>34549500</v>
      </c>
      <c r="I163" s="129" t="s">
        <v>474</v>
      </c>
    </row>
    <row r="164" spans="1:9">
      <c r="A164" s="115" t="s">
        <v>434</v>
      </c>
      <c r="B164" s="115" t="s">
        <v>294</v>
      </c>
      <c r="C164" s="115" t="s">
        <v>464</v>
      </c>
      <c r="D164" s="129" t="s">
        <v>8</v>
      </c>
      <c r="E164" s="115" t="s">
        <v>117</v>
      </c>
      <c r="F164" s="138" t="s">
        <v>474</v>
      </c>
      <c r="G164" s="130">
        <v>39.215000000000003</v>
      </c>
      <c r="H164" s="115">
        <v>34549500</v>
      </c>
      <c r="I164" s="129" t="s">
        <v>474</v>
      </c>
    </row>
    <row r="165" spans="1:9">
      <c r="A165" s="115" t="s">
        <v>429</v>
      </c>
      <c r="B165" s="115" t="s">
        <v>294</v>
      </c>
      <c r="C165" s="115" t="s">
        <v>459</v>
      </c>
      <c r="D165" s="129" t="s">
        <v>8</v>
      </c>
      <c r="E165" s="115" t="s">
        <v>117</v>
      </c>
      <c r="F165" s="138" t="s">
        <v>474</v>
      </c>
      <c r="G165" s="130">
        <v>39.215000000000003</v>
      </c>
      <c r="H165" s="115">
        <v>34549500</v>
      </c>
      <c r="I165" s="129" t="s">
        <v>474</v>
      </c>
    </row>
    <row r="166" spans="1:9">
      <c r="A166" s="115" t="s">
        <v>432</v>
      </c>
      <c r="B166" s="115" t="s">
        <v>294</v>
      </c>
      <c r="C166" s="115" t="s">
        <v>462</v>
      </c>
      <c r="D166" s="129" t="s">
        <v>8</v>
      </c>
      <c r="E166" s="115" t="s">
        <v>117</v>
      </c>
      <c r="F166" s="138" t="s">
        <v>474</v>
      </c>
      <c r="G166" s="130">
        <v>39.215000000000003</v>
      </c>
      <c r="H166" s="115">
        <v>34549500</v>
      </c>
      <c r="I166" s="129" t="s">
        <v>474</v>
      </c>
    </row>
    <row r="167" spans="1:9">
      <c r="A167" s="115" t="s">
        <v>370</v>
      </c>
      <c r="B167" s="127" t="s">
        <v>294</v>
      </c>
      <c r="C167" s="127" t="s">
        <v>371</v>
      </c>
      <c r="D167" s="129" t="s">
        <v>8</v>
      </c>
      <c r="E167" s="129" t="s">
        <v>117</v>
      </c>
      <c r="F167" s="138" t="s">
        <v>110</v>
      </c>
      <c r="G167" s="130">
        <v>39.215000000000003</v>
      </c>
      <c r="H167" s="129">
        <v>34549500</v>
      </c>
      <c r="I167" s="129">
        <v>3</v>
      </c>
    </row>
    <row r="168" spans="1:9">
      <c r="A168" s="115" t="s">
        <v>151</v>
      </c>
      <c r="B168" s="127" t="s">
        <v>294</v>
      </c>
      <c r="C168" s="127" t="s">
        <v>372</v>
      </c>
      <c r="D168" s="129" t="s">
        <v>8</v>
      </c>
      <c r="E168" s="129" t="s">
        <v>117</v>
      </c>
      <c r="F168" s="138" t="s">
        <v>110</v>
      </c>
      <c r="G168" s="130">
        <v>39.122999999999998</v>
      </c>
      <c r="H168" s="129">
        <v>34580800</v>
      </c>
      <c r="I168" s="129">
        <v>3</v>
      </c>
    </row>
    <row r="169" spans="1:9">
      <c r="A169" s="115" t="s">
        <v>373</v>
      </c>
      <c r="B169" s="127" t="s">
        <v>294</v>
      </c>
      <c r="C169" s="127" t="s">
        <v>374</v>
      </c>
      <c r="D169" s="129" t="s">
        <v>8</v>
      </c>
      <c r="E169" s="129" t="s">
        <v>117</v>
      </c>
      <c r="F169" s="138" t="s">
        <v>110</v>
      </c>
      <c r="G169" s="130">
        <v>39.495000000000005</v>
      </c>
      <c r="H169" s="129">
        <v>34579600</v>
      </c>
      <c r="I169" s="129">
        <v>3</v>
      </c>
    </row>
    <row r="170" spans="1:9">
      <c r="A170" s="115" t="s">
        <v>152</v>
      </c>
      <c r="B170" s="127" t="s">
        <v>294</v>
      </c>
      <c r="C170" s="127" t="s">
        <v>375</v>
      </c>
      <c r="D170" s="129" t="s">
        <v>8</v>
      </c>
      <c r="E170" s="129" t="s">
        <v>117</v>
      </c>
      <c r="F170" s="138" t="s">
        <v>110</v>
      </c>
      <c r="G170" s="130">
        <v>39.495000000000005</v>
      </c>
      <c r="H170" s="129">
        <v>34579600</v>
      </c>
      <c r="I170" s="129">
        <v>3</v>
      </c>
    </row>
    <row r="171" spans="1:9">
      <c r="A171" s="115" t="s">
        <v>175</v>
      </c>
      <c r="B171" s="127" t="s">
        <v>294</v>
      </c>
      <c r="C171" s="127" t="s">
        <v>376</v>
      </c>
      <c r="D171" s="129" t="s">
        <v>8</v>
      </c>
      <c r="E171" s="129" t="s">
        <v>117</v>
      </c>
      <c r="F171" s="138" t="s">
        <v>110</v>
      </c>
      <c r="G171" s="130">
        <v>39.311</v>
      </c>
      <c r="H171" s="129">
        <v>34583700</v>
      </c>
      <c r="I171" s="129">
        <v>3</v>
      </c>
    </row>
    <row r="172" spans="1:9">
      <c r="A172" s="115" t="s">
        <v>153</v>
      </c>
      <c r="B172" s="127" t="s">
        <v>294</v>
      </c>
      <c r="C172" s="127" t="s">
        <v>377</v>
      </c>
      <c r="D172" s="129" t="s">
        <v>8</v>
      </c>
      <c r="E172" s="129" t="s">
        <v>117</v>
      </c>
      <c r="F172" s="138" t="s">
        <v>110</v>
      </c>
      <c r="G172" s="130">
        <v>39.122999999999998</v>
      </c>
      <c r="H172" s="129">
        <v>34580800</v>
      </c>
      <c r="I172" s="129">
        <v>3</v>
      </c>
    </row>
    <row r="173" spans="1:9">
      <c r="A173" s="115" t="s">
        <v>176</v>
      </c>
      <c r="B173" s="127" t="s">
        <v>294</v>
      </c>
      <c r="C173" s="127" t="s">
        <v>378</v>
      </c>
      <c r="D173" s="129" t="s">
        <v>8</v>
      </c>
      <c r="E173" s="129" t="s">
        <v>117</v>
      </c>
      <c r="F173" s="138" t="s">
        <v>110</v>
      </c>
      <c r="G173" s="130">
        <v>39.129999999999995</v>
      </c>
      <c r="H173" s="129">
        <v>34584001</v>
      </c>
      <c r="I173" s="129">
        <v>3</v>
      </c>
    </row>
  </sheetData>
  <autoFilter ref="A1:I173" xr:uid="{00000000-0001-0000-0400-000000000000}"/>
  <sortState xmlns:xlrd2="http://schemas.microsoft.com/office/spreadsheetml/2017/richdata2" ref="A86:I173">
    <sortCondition ref="A86:A173"/>
  </sortState>
  <pageMargins left="0.7" right="0.7" top="0.75" bottom="0.75" header="0.3" footer="0.3"/>
  <pageSetup paperSize="9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"/>
  <sheetViews>
    <sheetView workbookViewId="0"/>
  </sheetViews>
  <sheetFormatPr defaultRowHeight="12.75"/>
  <cols>
    <col min="1" max="1" width="15" customWidth="1"/>
    <col min="2" max="8" width="14" bestFit="1" customWidth="1"/>
  </cols>
  <sheetData>
    <row r="1" spans="1:8">
      <c r="A1" s="107" t="s">
        <v>379</v>
      </c>
      <c r="B1" s="4"/>
      <c r="C1" s="4"/>
      <c r="D1" s="4"/>
      <c r="E1" s="4"/>
      <c r="F1" s="4"/>
      <c r="G1" s="4"/>
      <c r="H1" s="4"/>
    </row>
    <row r="2" spans="1:8">
      <c r="A2" s="127" t="s">
        <v>108</v>
      </c>
      <c r="B2" s="127"/>
      <c r="C2" s="127"/>
      <c r="D2" s="127"/>
      <c r="E2" s="127"/>
      <c r="F2" s="127"/>
      <c r="G2" s="127"/>
      <c r="H2" s="127"/>
    </row>
    <row r="3" spans="1:8">
      <c r="A3" s="127" t="s">
        <v>178</v>
      </c>
      <c r="B3" s="127"/>
      <c r="C3" s="127"/>
      <c r="D3" s="127"/>
      <c r="E3" s="127"/>
      <c r="F3" s="127"/>
      <c r="G3" s="127"/>
      <c r="H3" s="127"/>
    </row>
    <row r="4" spans="1:8">
      <c r="A4" s="127" t="s">
        <v>294</v>
      </c>
      <c r="B4" s="127"/>
      <c r="C4" s="127"/>
      <c r="D4" s="127"/>
      <c r="E4" s="127"/>
      <c r="F4" s="127"/>
      <c r="G4" s="127"/>
      <c r="H4" s="127"/>
    </row>
  </sheetData>
  <dataConsolidate/>
  <phoneticPr fontId="44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T46"/>
  <sheetViews>
    <sheetView showGridLines="0" tabSelected="1" zoomScaleNormal="75" workbookViewId="0">
      <selection activeCell="E6" sqref="E6:H6"/>
    </sheetView>
  </sheetViews>
  <sheetFormatPr defaultRowHeight="12.75" outlineLevelRow="1"/>
  <cols>
    <col min="1" max="2" width="14.42578125" style="30" customWidth="1"/>
    <col min="3" max="3" width="15.28515625" style="30" customWidth="1"/>
    <col min="4" max="4" width="14.42578125" style="30" customWidth="1"/>
    <col min="5" max="5" width="15.28515625" style="30" customWidth="1"/>
    <col min="6" max="6" width="14.42578125" style="30" customWidth="1"/>
    <col min="7" max="7" width="15.28515625" style="30" customWidth="1"/>
    <col min="8" max="8" width="16.28515625" style="30" bestFit="1" customWidth="1"/>
    <col min="9" max="9" width="15.28515625" style="29" customWidth="1"/>
    <col min="10" max="10" width="14.42578125" style="29" customWidth="1"/>
    <col min="11" max="11" width="9.42578125" style="29" bestFit="1" customWidth="1"/>
    <col min="12" max="46" width="9.140625" style="29"/>
    <col min="47" max="16384" width="9.140625" style="30"/>
  </cols>
  <sheetData>
    <row r="1" spans="1:46" ht="15.75">
      <c r="A1" s="280" t="s">
        <v>476</v>
      </c>
      <c r="B1" s="281"/>
      <c r="C1" s="281"/>
      <c r="D1" s="281"/>
      <c r="E1" s="281"/>
      <c r="F1" s="281"/>
      <c r="G1" s="281"/>
      <c r="H1" s="281"/>
      <c r="I1" s="281"/>
      <c r="J1" s="282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46" ht="15.75">
      <c r="A2" s="286"/>
      <c r="B2" s="287"/>
      <c r="C2" s="287"/>
      <c r="D2" s="287"/>
      <c r="E2" s="287"/>
      <c r="F2" s="287"/>
      <c r="G2" s="287"/>
      <c r="H2" s="287"/>
      <c r="I2" s="287"/>
      <c r="J2" s="288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46" ht="15.75">
      <c r="A3" s="298" t="s">
        <v>380</v>
      </c>
      <c r="B3" s="299"/>
      <c r="C3" s="299"/>
      <c r="D3" s="299"/>
      <c r="E3" s="113">
        <f>+Parametri!C1</f>
        <v>46235</v>
      </c>
      <c r="F3" s="112" t="s">
        <v>410</v>
      </c>
      <c r="G3" s="108"/>
      <c r="H3" s="218">
        <f>+Parametri!C2</f>
        <v>46235</v>
      </c>
      <c r="I3" s="108"/>
      <c r="J3" s="109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46" ht="15.75">
      <c r="A4" s="289" t="s">
        <v>477</v>
      </c>
      <c r="B4" s="290"/>
      <c r="C4" s="290"/>
      <c r="D4" s="290"/>
      <c r="E4" s="290"/>
      <c r="F4" s="290"/>
      <c r="G4" s="290"/>
      <c r="H4" s="290"/>
      <c r="I4" s="290"/>
      <c r="J4" s="29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46">
      <c r="A5" s="61"/>
      <c r="B5" s="61"/>
      <c r="C5" s="61"/>
      <c r="D5" s="61"/>
      <c r="E5" s="61"/>
      <c r="F5" s="61"/>
      <c r="G5" s="61"/>
      <c r="H5" s="61"/>
      <c r="I5" s="62"/>
      <c r="J5" s="62"/>
    </row>
    <row r="6" spans="1:46" ht="18.75">
      <c r="A6" s="31" t="s">
        <v>381</v>
      </c>
      <c r="B6" s="42"/>
      <c r="C6" s="43"/>
      <c r="D6" s="44"/>
      <c r="E6" s="292" t="s">
        <v>178</v>
      </c>
      <c r="F6" s="293"/>
      <c r="G6" s="293"/>
      <c r="H6" s="294"/>
    </row>
    <row r="7" spans="1:46" s="75" customFormat="1" ht="18.75">
      <c r="A7" s="31" t="s">
        <v>382</v>
      </c>
      <c r="B7" s="71"/>
      <c r="C7" s="72"/>
      <c r="D7" s="73"/>
      <c r="E7" s="300" t="s">
        <v>177</v>
      </c>
      <c r="F7" s="301"/>
      <c r="G7" s="301"/>
      <c r="H7" s="302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</row>
    <row r="8" spans="1:46" s="75" customFormat="1" ht="18.75">
      <c r="A8" s="31" t="s">
        <v>383</v>
      </c>
      <c r="B8" s="71"/>
      <c r="C8" s="72"/>
      <c r="D8" s="73"/>
      <c r="E8" s="300" t="s">
        <v>57</v>
      </c>
      <c r="F8" s="301"/>
      <c r="G8" s="301"/>
      <c r="H8" s="302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</row>
    <row r="9" spans="1:46">
      <c r="A9" s="31" t="s">
        <v>384</v>
      </c>
      <c r="B9" s="42"/>
      <c r="C9" s="43"/>
      <c r="D9" s="44"/>
      <c r="E9" s="295" t="str">
        <f>VLOOKUP(E7,COMUNI!$A$2:$F$568,4,FALSE)</f>
        <v>NORD ORIENTALE</v>
      </c>
      <c r="F9" s="296"/>
      <c r="G9" s="296"/>
      <c r="H9" s="297"/>
    </row>
    <row r="10" spans="1:46">
      <c r="A10" s="31" t="s">
        <v>385</v>
      </c>
      <c r="B10" s="42"/>
      <c r="C10" s="43"/>
      <c r="D10" s="44"/>
      <c r="E10" s="295" t="str">
        <f>+E7&amp;"_"&amp;E6</f>
        <v>ADRIA_ASM_SET</v>
      </c>
      <c r="F10" s="296"/>
      <c r="G10" s="296"/>
      <c r="H10" s="297"/>
    </row>
    <row r="11" spans="1:46">
      <c r="A11" s="63"/>
      <c r="B11" s="45"/>
      <c r="C11" s="45"/>
      <c r="D11" s="44"/>
      <c r="E11" s="32"/>
      <c r="F11" s="44"/>
      <c r="G11" s="44"/>
      <c r="H11" s="44"/>
    </row>
    <row r="12" spans="1:46">
      <c r="A12" s="31" t="s">
        <v>386</v>
      </c>
      <c r="B12" s="42"/>
      <c r="C12" s="43"/>
      <c r="D12" s="44"/>
      <c r="E12" s="283">
        <f>VLOOKUP(E10,COMUNI!$C$2:$G$568,5,FALSE)</f>
        <v>39.048000000000002</v>
      </c>
      <c r="F12" s="284"/>
      <c r="G12" s="284"/>
      <c r="H12" s="285"/>
    </row>
    <row r="13" spans="1:46">
      <c r="A13" s="64"/>
      <c r="B13" s="44"/>
      <c r="C13" s="44"/>
      <c r="D13" s="44"/>
      <c r="E13" s="33"/>
      <c r="F13" s="33"/>
      <c r="G13" s="33"/>
      <c r="H13" s="33"/>
    </row>
    <row r="14" spans="1:46" ht="13.5" thickBot="1">
      <c r="A14" s="65"/>
      <c r="B14" s="66"/>
      <c r="C14" s="66"/>
      <c r="D14" s="66"/>
      <c r="E14" s="67"/>
      <c r="F14" s="67"/>
      <c r="G14" s="67"/>
      <c r="H14" s="67"/>
      <c r="I14" s="68"/>
      <c r="J14" s="68"/>
    </row>
    <row r="15" spans="1:46">
      <c r="A15" s="277" t="s">
        <v>387</v>
      </c>
      <c r="B15" s="278"/>
      <c r="C15" s="278"/>
      <c r="D15" s="278"/>
      <c r="E15" s="278"/>
      <c r="F15" s="278"/>
      <c r="G15" s="278"/>
      <c r="H15" s="278"/>
      <c r="I15" s="278"/>
      <c r="J15" s="279"/>
    </row>
    <row r="16" spans="1:46" ht="12.75" customHeight="1">
      <c r="A16" s="316" t="s">
        <v>388</v>
      </c>
      <c r="B16" s="317"/>
      <c r="C16" s="307" t="s">
        <v>389</v>
      </c>
      <c r="D16" s="308"/>
      <c r="E16" s="324" t="s">
        <v>390</v>
      </c>
      <c r="F16" s="325"/>
      <c r="G16" s="311" t="s">
        <v>85</v>
      </c>
      <c r="H16" s="312"/>
      <c r="I16" s="320" t="s">
        <v>391</v>
      </c>
      <c r="J16" s="321"/>
    </row>
    <row r="17" spans="1:46">
      <c r="A17" s="318"/>
      <c r="B17" s="319"/>
      <c r="C17" s="309"/>
      <c r="D17" s="310"/>
      <c r="E17" s="326"/>
      <c r="F17" s="327"/>
      <c r="G17" s="313"/>
      <c r="H17" s="314"/>
      <c r="I17" s="322"/>
      <c r="J17" s="323"/>
    </row>
    <row r="18" spans="1:46">
      <c r="A18" s="21" t="s">
        <v>392</v>
      </c>
      <c r="B18" s="22" t="s">
        <v>393</v>
      </c>
      <c r="C18" s="186" t="s">
        <v>395</v>
      </c>
      <c r="D18" s="144" t="s">
        <v>394</v>
      </c>
      <c r="E18" s="22" t="s">
        <v>395</v>
      </c>
      <c r="F18" s="144" t="s">
        <v>394</v>
      </c>
      <c r="G18" s="22" t="s">
        <v>395</v>
      </c>
      <c r="H18" s="185" t="s">
        <v>394</v>
      </c>
      <c r="I18" s="22" t="s">
        <v>395</v>
      </c>
      <c r="J18" s="145" t="s">
        <v>394</v>
      </c>
    </row>
    <row r="19" spans="1:46" ht="25.5">
      <c r="A19" s="24" t="s">
        <v>396</v>
      </c>
      <c r="B19" s="25" t="s">
        <v>396</v>
      </c>
      <c r="C19" s="23" t="s">
        <v>397</v>
      </c>
      <c r="D19" s="25" t="s">
        <v>398</v>
      </c>
      <c r="E19" s="23" t="s">
        <v>397</v>
      </c>
      <c r="F19" s="25" t="s">
        <v>398</v>
      </c>
      <c r="G19" s="23" t="s">
        <v>397</v>
      </c>
      <c r="H19" s="25" t="s">
        <v>398</v>
      </c>
      <c r="I19" s="22" t="s">
        <v>397</v>
      </c>
      <c r="J19" s="46" t="s">
        <v>398</v>
      </c>
    </row>
    <row r="20" spans="1:46">
      <c r="A20" s="26">
        <v>0</v>
      </c>
      <c r="B20" s="27">
        <v>120</v>
      </c>
      <c r="C20" s="69">
        <f>Parametri!$G$20</f>
        <v>55.39</v>
      </c>
      <c r="D20" s="169">
        <f>+ROUND(Parametri!$D$15*$E$12/1000,6)+Parametri!$G$19+Parametri!$G$18+Parametri!$G$17</f>
        <v>0.73574499999999998</v>
      </c>
      <c r="E20" s="170">
        <f>IF($E$8="G4-G6",VLOOKUP($E$9,Parametri!$B$45:$F$50,Parametri!$D$43,FALSE)+VLOOKUP($E$9,Parametri!$B$51:$F$56,Parametri!$D$43,FALSE)+VLOOKUP($E$9,Parametri!$B$57:$F$62,Parametri!$D$43,FALSE),IF($E$8="G10-G40",VLOOKUP($E$9,Parametri!$B$45:$F$50,Parametri!$E$43,FALSE)+VLOOKUP($E$9,Parametri!$B$51:$F$56,Parametri!$E$43,FALSE)+VLOOKUP($E$9,Parametri!$B$57:$F$62,Parametri!$D$43,FALSE),IF($E$8="oltre G40",VLOOKUP($E$9,Parametri!$B$45:$F$50,Parametri!$F$43,FALSE)+VLOOKUP($E$9,Parametri!$B$51:$F$56,Parametri!$F$43,FALSE)+VLOOKUP($E$9,Parametri!$B$57:$F$62,Parametri!$D$43,FALSE))))+VLOOKUP($E$9,Parametri!$B$63:$D$68,3,FALSE)+VLOOKUP($E$9,Parametri!$B$69:$D$74,3,FALSE)+VLOOKUP($E$9,Parametri!$B$75:$D$80,3,FALSE)</f>
        <v>69.240000000000009</v>
      </c>
      <c r="F20" s="176">
        <f t="array" ref="F20:F27">IF(E9="NORD ORIENTALE",TRANSPOSE('Calcolo distribuzione'!K20:R20),IF(E9="NORD OCCIDENTALE",TRANSPOSE('Calcolo distribuzione'!K6:R6),IF(E9="CENTRO-SUD ORIENTALE",TRANSPOSE('Calcolo distribuzione'!K34:R34))))-ROUND(VLOOKUP($E$9,Parametri!$B$7:$D$12,3,FALSE)*Parametri!C3,6)+ROUND(VLOOKUP($E$9,Parametri!$B$7:$D$12,3,FALSE)*$E$12/1000,6)</f>
        <v>0.11304</v>
      </c>
      <c r="G20" s="69">
        <f>+Parametri!$D$42</f>
        <v>-21.63</v>
      </c>
      <c r="H20" s="176">
        <f t="array" ref="H20:H27">IF(E9="NORD ORIENTALE",TRANSPOSE('Calcolo distribuzione'!T20:AA20),IF(E9="NORD OCCIDENTALE",TRANSPOSE('Calcolo distribuzione'!T6:AA6),IF(E9="CENTRO-SUD ORIENTALE",TRANSPOSE('Calcolo distribuzione'!T34:AA34))))</f>
        <v>3.6708999999999999E-2</v>
      </c>
      <c r="I20" s="105">
        <f>+C20+E20+G20</f>
        <v>103.00000000000001</v>
      </c>
      <c r="J20" s="47">
        <f>+D20+F20+H20</f>
        <v>0.885494</v>
      </c>
      <c r="K20" s="183"/>
      <c r="L20" s="182"/>
      <c r="Q20" s="102"/>
    </row>
    <row r="21" spans="1:46">
      <c r="A21" s="26">
        <v>121</v>
      </c>
      <c r="B21" s="27">
        <v>480</v>
      </c>
      <c r="C21" s="69">
        <f>Parametri!$G$20</f>
        <v>55.39</v>
      </c>
      <c r="D21" s="169">
        <f>+ROUND(Parametri!$D$15*$E$12/1000,6)+Parametri!$G$19+Parametri!$G$18+Parametri!$G$17</f>
        <v>0.73574499999999998</v>
      </c>
      <c r="E21" s="170">
        <f>IF($E$8="G4-G6",VLOOKUP($E$9,Parametri!$B$45:$F$50,Parametri!$D$43,FALSE)+VLOOKUP($E$9,Parametri!$B$51:$F$56,Parametri!$D$43,FALSE)+VLOOKUP($E$9,Parametri!$B$57:$F$62,Parametri!$D$43,FALSE),IF($E$8="G10-G40",VLOOKUP($E$9,Parametri!$B$45:$F$50,Parametri!$E$43,FALSE)+VLOOKUP($E$9,Parametri!$B$51:$F$56,Parametri!$E$43,FALSE)+VLOOKUP($E$9,Parametri!$B$57:$F$62,Parametri!$D$43,FALSE),IF($E$8="oltre G40",VLOOKUP($E$9,Parametri!$B$45:$F$50,Parametri!$F$43,FALSE)+VLOOKUP($E$9,Parametri!$B$51:$F$56,Parametri!$F$43,FALSE)+VLOOKUP($E$9,Parametri!$B$57:$F$62,Parametri!$D$43,FALSE))))+VLOOKUP($E$9,Parametri!$B$63:$D$68,3,FALSE)+VLOOKUP($E$9,Parametri!$B$69:$D$74,3,FALSE)+VLOOKUP($E$9,Parametri!$B$75:$D$80,3,FALSE)</f>
        <v>69.240000000000009</v>
      </c>
      <c r="F21" s="28">
        <v>0.19240700000000002</v>
      </c>
      <c r="G21" s="69">
        <f>+Parametri!$D$42</f>
        <v>-21.63</v>
      </c>
      <c r="H21" s="28">
        <v>8.6309000000000011E-2</v>
      </c>
      <c r="I21" s="105">
        <f t="shared" ref="I21:I27" si="0">+C21+E21+G21</f>
        <v>103.00000000000001</v>
      </c>
      <c r="J21" s="47">
        <f t="shared" ref="J21:J27" si="1">+D21+F21+H21</f>
        <v>1.0144610000000001</v>
      </c>
      <c r="K21" s="183"/>
      <c r="L21" s="182"/>
      <c r="M21" s="103"/>
      <c r="N21" s="103"/>
      <c r="O21" s="102"/>
      <c r="P21" s="102"/>
      <c r="Q21" s="102"/>
    </row>
    <row r="22" spans="1:46">
      <c r="A22" s="26">
        <v>481</v>
      </c>
      <c r="B22" s="27">
        <v>1560</v>
      </c>
      <c r="C22" s="69">
        <f>Parametri!$G$20</f>
        <v>55.39</v>
      </c>
      <c r="D22" s="169">
        <f>+ROUND(Parametri!$D$15*$E$12/1000,6)+Parametri!$G$19+Parametri!$G$18+Parametri!$G$17</f>
        <v>0.73574499999999998</v>
      </c>
      <c r="E22" s="170">
        <f>IF($E$8="G4-G6",VLOOKUP($E$9,Parametri!$B$45:$F$50,Parametri!$D$43,FALSE)+VLOOKUP($E$9,Parametri!$B$51:$F$56,Parametri!$D$43,FALSE)+VLOOKUP($E$9,Parametri!$B$57:$F$62,Parametri!$D$43,FALSE),IF($E$8="G10-G40",VLOOKUP($E$9,Parametri!$B$45:$F$50,Parametri!$E$43,FALSE)+VLOOKUP($E$9,Parametri!$B$51:$F$56,Parametri!$E$43,FALSE)+VLOOKUP($E$9,Parametri!$B$57:$F$62,Parametri!$D$43,FALSE),IF($E$8="oltre G40",VLOOKUP($E$9,Parametri!$B$45:$F$50,Parametri!$F$43,FALSE)+VLOOKUP($E$9,Parametri!$B$51:$F$56,Parametri!$F$43,FALSE)+VLOOKUP($E$9,Parametri!$B$57:$F$62,Parametri!$D$43,FALSE))))+VLOOKUP($E$9,Parametri!$B$63:$D$68,3,FALSE)+VLOOKUP($E$9,Parametri!$B$69:$D$74,3,FALSE)+VLOOKUP($E$9,Parametri!$B$75:$D$80,3,FALSE)</f>
        <v>69.240000000000009</v>
      </c>
      <c r="F22" s="28">
        <v>0.18568300000000001</v>
      </c>
      <c r="G22" s="69">
        <f>+Parametri!$D$42</f>
        <v>-21.63</v>
      </c>
      <c r="H22" s="28">
        <v>6.6008999999999998E-2</v>
      </c>
      <c r="I22" s="105">
        <f t="shared" si="0"/>
        <v>103.00000000000001</v>
      </c>
      <c r="J22" s="47">
        <f t="shared" si="1"/>
        <v>0.98743700000000001</v>
      </c>
      <c r="K22" s="183"/>
      <c r="L22" s="182"/>
      <c r="M22" s="103"/>
      <c r="N22" s="103"/>
      <c r="O22" s="102"/>
      <c r="P22" s="102"/>
      <c r="Q22" s="102"/>
    </row>
    <row r="23" spans="1:46">
      <c r="A23" s="26">
        <v>1561</v>
      </c>
      <c r="B23" s="27">
        <v>5000</v>
      </c>
      <c r="C23" s="69">
        <f>Parametri!$G$20</f>
        <v>55.39</v>
      </c>
      <c r="D23" s="169">
        <f>+ROUND(Parametri!$D$15*$E$12/1000,6)+Parametri!$G$19+Parametri!$G$18+Parametri!$G$17</f>
        <v>0.73574499999999998</v>
      </c>
      <c r="E23" s="170">
        <f>IF($E$8="G4-G6",VLOOKUP($E$9,Parametri!$B$45:$F$50,Parametri!$D$43,FALSE)+VLOOKUP($E$9,Parametri!$B$51:$F$56,Parametri!$D$43,FALSE)+VLOOKUP($E$9,Parametri!$B$57:$F$62,Parametri!$D$43,FALSE),IF($E$8="G10-G40",VLOOKUP($E$9,Parametri!$B$45:$F$50,Parametri!$E$43,FALSE)+VLOOKUP($E$9,Parametri!$B$51:$F$56,Parametri!$E$43,FALSE)+VLOOKUP($E$9,Parametri!$B$57:$F$62,Parametri!$D$43,FALSE),IF($E$8="oltre G40",VLOOKUP($E$9,Parametri!$B$45:$F$50,Parametri!$F$43,FALSE)+VLOOKUP($E$9,Parametri!$B$51:$F$56,Parametri!$F$43,FALSE)+VLOOKUP($E$9,Parametri!$B$57:$F$62,Parametri!$D$43,FALSE))))+VLOOKUP($E$9,Parametri!$B$63:$D$68,3,FALSE)+VLOOKUP($E$9,Parametri!$B$69:$D$74,3,FALSE)+VLOOKUP($E$9,Parametri!$B$75:$D$80,3,FALSE)</f>
        <v>69.240000000000009</v>
      </c>
      <c r="F23" s="28">
        <v>0.18598899999999999</v>
      </c>
      <c r="G23" s="69">
        <f>+Parametri!$D$42</f>
        <v>-21.63</v>
      </c>
      <c r="H23" s="28">
        <v>6.0409000000000004E-2</v>
      </c>
      <c r="I23" s="105">
        <f t="shared" si="0"/>
        <v>103.00000000000001</v>
      </c>
      <c r="J23" s="47">
        <f t="shared" si="1"/>
        <v>0.98214299999999999</v>
      </c>
      <c r="K23" s="183"/>
      <c r="L23" s="182"/>
      <c r="M23" s="103"/>
      <c r="N23" s="103"/>
      <c r="O23" s="102"/>
      <c r="P23" s="102"/>
      <c r="Q23" s="102"/>
    </row>
    <row r="24" spans="1:46">
      <c r="A24" s="26">
        <v>5001</v>
      </c>
      <c r="B24" s="27">
        <v>80000</v>
      </c>
      <c r="C24" s="69">
        <f>Parametri!$G$20</f>
        <v>55.39</v>
      </c>
      <c r="D24" s="169">
        <f>+ROUND(Parametri!$D$15*$E$12/1000,6)+Parametri!$G$19+Parametri!$G$18+Parametri!$G$17</f>
        <v>0.73574499999999998</v>
      </c>
      <c r="E24" s="170">
        <f>IF($E$8="G4-G6",VLOOKUP($E$9,Parametri!$B$45:$F$50,Parametri!$D$43,FALSE)+VLOOKUP($E$9,Parametri!$B$51:$F$56,Parametri!$D$43,FALSE)+VLOOKUP($E$9,Parametri!$B$57:$F$62,Parametri!$D$43,FALSE),IF($E$8="G10-G40",VLOOKUP($E$9,Parametri!$B$45:$F$50,Parametri!$E$43,FALSE)+VLOOKUP($E$9,Parametri!$B$51:$F$56,Parametri!$E$43,FALSE)+VLOOKUP($E$9,Parametri!$B$57:$F$62,Parametri!$D$43,FALSE),IF($E$8="oltre G40",VLOOKUP($E$9,Parametri!$B$45:$F$50,Parametri!$F$43,FALSE)+VLOOKUP($E$9,Parametri!$B$51:$F$56,Parametri!$F$43,FALSE)+VLOOKUP($E$9,Parametri!$B$57:$F$62,Parametri!$D$43,FALSE))))+VLOOKUP($E$9,Parametri!$B$63:$D$68,3,FALSE)+VLOOKUP($E$9,Parametri!$B$69:$D$74,3,FALSE)+VLOOKUP($E$9,Parametri!$B$75:$D$80,3,FALSE)</f>
        <v>69.240000000000009</v>
      </c>
      <c r="F24" s="28">
        <v>0.167548</v>
      </c>
      <c r="G24" s="69">
        <f>+Parametri!$D$42</f>
        <v>-21.63</v>
      </c>
      <c r="H24" s="28">
        <v>5.3709000000000007E-2</v>
      </c>
      <c r="I24" s="105">
        <f t="shared" si="0"/>
        <v>103.00000000000001</v>
      </c>
      <c r="J24" s="47">
        <f t="shared" si="1"/>
        <v>0.95700200000000002</v>
      </c>
      <c r="L24" s="182"/>
      <c r="M24" s="102"/>
      <c r="N24" s="103"/>
      <c r="O24" s="102"/>
      <c r="P24" s="102"/>
      <c r="Q24" s="102"/>
    </row>
    <row r="25" spans="1:46">
      <c r="A25" s="26">
        <v>80001</v>
      </c>
      <c r="B25" s="27">
        <v>200000</v>
      </c>
      <c r="C25" s="69">
        <f>Parametri!$G$20</f>
        <v>55.39</v>
      </c>
      <c r="D25" s="169">
        <f>+ROUND(Parametri!$D$15*$E$12/1000,6)+Parametri!$G$19+Parametri!$G$18+Parametri!$G$17</f>
        <v>0.73574499999999998</v>
      </c>
      <c r="E25" s="170">
        <f>IF($E$8="G4-G6",VLOOKUP($E$9,Parametri!$B$45:$F$50,Parametri!$D$43,FALSE)+VLOOKUP($E$9,Parametri!$B$51:$F$56,Parametri!$D$43,FALSE)+VLOOKUP($E$9,Parametri!$B$57:$F$62,Parametri!$D$43,FALSE),IF($E$8="G10-G40",VLOOKUP($E$9,Parametri!$B$45:$F$50,Parametri!$E$43,FALSE)+VLOOKUP($E$9,Parametri!$B$51:$F$56,Parametri!$E$43,FALSE)+VLOOKUP($E$9,Parametri!$B$57:$F$62,Parametri!$D$43,FALSE),IF($E$8="oltre G40",VLOOKUP($E$9,Parametri!$B$45:$F$50,Parametri!$F$43,FALSE)+VLOOKUP($E$9,Parametri!$B$51:$F$56,Parametri!$F$43,FALSE)+VLOOKUP($E$9,Parametri!$B$57:$F$62,Parametri!$D$43,FALSE))))+VLOOKUP($E$9,Parametri!$B$63:$D$68,3,FALSE)+VLOOKUP($E$9,Parametri!$B$69:$D$74,3,FALSE)+VLOOKUP($E$9,Parametri!$B$75:$D$80,3,FALSE)</f>
        <v>69.240000000000009</v>
      </c>
      <c r="F25" s="28">
        <v>0.14065</v>
      </c>
      <c r="G25" s="69">
        <f>+Parametri!$D$42</f>
        <v>-21.63</v>
      </c>
      <c r="H25" s="28">
        <v>4.3809000000000008E-2</v>
      </c>
      <c r="I25" s="105">
        <f t="shared" si="0"/>
        <v>103.00000000000001</v>
      </c>
      <c r="J25" s="47">
        <f t="shared" si="1"/>
        <v>0.92020400000000002</v>
      </c>
      <c r="L25" s="182"/>
      <c r="M25" s="102"/>
      <c r="N25" s="103"/>
      <c r="O25" s="102"/>
      <c r="P25" s="102"/>
    </row>
    <row r="26" spans="1:46">
      <c r="A26" s="26">
        <v>200001</v>
      </c>
      <c r="B26" s="27">
        <v>1000000</v>
      </c>
      <c r="C26" s="69">
        <f>Parametri!$G$20</f>
        <v>55.39</v>
      </c>
      <c r="D26" s="169">
        <f>+ROUND(Parametri!$D$15*$E$12/1000,6)+Parametri!$G$19+Parametri!$G$18+Parametri!$G$17</f>
        <v>0.73574499999999998</v>
      </c>
      <c r="E26" s="170">
        <f>IF($E$8="G4-G6",VLOOKUP($E$9,Parametri!$B$45:$F$50,Parametri!$D$43,FALSE)+VLOOKUP($E$9,Parametri!$B$51:$F$56,Parametri!$D$43,FALSE)+VLOOKUP($E$9,Parametri!$B$57:$F$62,Parametri!$D$43,FALSE),IF($E$8="G10-G40",VLOOKUP($E$9,Parametri!$B$45:$F$50,Parametri!$E$43,FALSE)+VLOOKUP($E$9,Parametri!$B$51:$F$56,Parametri!$E$43,FALSE)+VLOOKUP($E$9,Parametri!$B$57:$F$62,Parametri!$D$43,FALSE),IF($E$8="oltre G40",VLOOKUP($E$9,Parametri!$B$45:$F$50,Parametri!$F$43,FALSE)+VLOOKUP($E$9,Parametri!$B$51:$F$56,Parametri!$F$43,FALSE)+VLOOKUP($E$9,Parametri!$B$57:$F$62,Parametri!$D$43,FALSE))))+VLOOKUP($E$9,Parametri!$B$63:$D$68,3,FALSE)+VLOOKUP($E$9,Parametri!$B$69:$D$74,3,FALSE)+VLOOKUP($E$9,Parametri!$B$75:$D$80,3,FALSE)</f>
        <v>69.240000000000009</v>
      </c>
      <c r="F26" s="28">
        <v>0.10797799999999999</v>
      </c>
      <c r="G26" s="69">
        <f>+Parametri!$D$42</f>
        <v>-21.63</v>
      </c>
      <c r="H26" s="28">
        <v>2.2902999999999996E-2</v>
      </c>
      <c r="I26" s="105">
        <f t="shared" si="0"/>
        <v>103.00000000000001</v>
      </c>
      <c r="J26" s="47">
        <f t="shared" si="1"/>
        <v>0.86662600000000001</v>
      </c>
      <c r="L26" s="182"/>
      <c r="N26" s="90"/>
    </row>
    <row r="27" spans="1:46" ht="13.5" thickBot="1">
      <c r="A27" s="48">
        <v>1000000</v>
      </c>
      <c r="B27" s="49"/>
      <c r="C27" s="70">
        <f>Parametri!$G$20</f>
        <v>55.39</v>
      </c>
      <c r="D27" s="50">
        <f>+ROUND(Parametri!$D$15*$E$12/1000,6)+Parametri!$G$19+Parametri!$G$18+Parametri!$G$17</f>
        <v>0.73574499999999998</v>
      </c>
      <c r="E27" s="175">
        <f>IF($E$8="G4-G6",VLOOKUP($E$9,Parametri!$B$45:$F$50,Parametri!$D$43,FALSE)+VLOOKUP($E$9,Parametri!$B$51:$F$56,Parametri!$D$43,FALSE)+VLOOKUP($E$9,Parametri!$B$57:$F$62,Parametri!$D$43,FALSE),IF($E$8="G10-G40",VLOOKUP($E$9,Parametri!$B$45:$F$50,Parametri!$E$43,FALSE)+VLOOKUP($E$9,Parametri!$B$51:$F$56,Parametri!$E$43,FALSE)+VLOOKUP($E$9,Parametri!$B$57:$F$62,Parametri!$D$43,FALSE),IF($E$8="oltre G40",VLOOKUP($E$9,Parametri!$B$45:$F$50,Parametri!$F$43,FALSE)+VLOOKUP($E$9,Parametri!$B$51:$F$56,Parametri!$F$43,FALSE)+VLOOKUP($E$9,Parametri!$B$57:$F$62,Parametri!$D$43,FALSE))))+VLOOKUP($E$9,Parametri!$B$63:$D$68,3,FALSE)+VLOOKUP($E$9,Parametri!$B$69:$D$74,3,FALSE)+VLOOKUP($E$9,Parametri!$B$75:$D$80,3,FALSE)</f>
        <v>69.240000000000009</v>
      </c>
      <c r="F27" s="50">
        <v>9.8196999999999993E-2</v>
      </c>
      <c r="G27" s="70">
        <f>+Parametri!$D$42</f>
        <v>-21.63</v>
      </c>
      <c r="H27" s="50">
        <v>2.2902999999999996E-2</v>
      </c>
      <c r="I27" s="106">
        <f t="shared" si="0"/>
        <v>103.00000000000001</v>
      </c>
      <c r="J27" s="51">
        <f t="shared" si="1"/>
        <v>0.85684499999999997</v>
      </c>
      <c r="L27" s="182"/>
      <c r="N27" s="90"/>
    </row>
    <row r="28" spans="1:46">
      <c r="N28" s="90"/>
    </row>
    <row r="29" spans="1:46" s="52" customFormat="1">
      <c r="A29" s="54" t="s">
        <v>399</v>
      </c>
      <c r="B29" s="110"/>
      <c r="C29" s="110"/>
      <c r="D29" s="110"/>
      <c r="E29" s="110"/>
      <c r="F29" s="111">
        <f>+Parametri!C1</f>
        <v>46235</v>
      </c>
      <c r="G29" s="306" t="s">
        <v>411</v>
      </c>
      <c r="H29" s="306"/>
      <c r="I29" s="219">
        <f>+Parametri!C2</f>
        <v>46235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</row>
    <row r="30" spans="1:46" s="52" customFormat="1" ht="12">
      <c r="A30" s="187" t="s">
        <v>400</v>
      </c>
      <c r="B30" s="188"/>
      <c r="C30" s="188"/>
      <c r="D30" s="188"/>
      <c r="E30" s="188"/>
      <c r="F30" s="188"/>
      <c r="G30" s="188"/>
      <c r="H30" s="188"/>
      <c r="I30" s="34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</row>
    <row r="31" spans="1:46" s="52" customFormat="1" ht="12">
      <c r="A31" s="54" t="s">
        <v>401</v>
      </c>
      <c r="B31" s="55"/>
      <c r="C31" s="55"/>
      <c r="D31" s="55"/>
      <c r="E31" s="55"/>
      <c r="F31" s="55"/>
      <c r="G31" s="55"/>
      <c r="H31" s="55"/>
      <c r="I31" s="35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</row>
    <row r="32" spans="1:46" s="52" customFormat="1" ht="12">
      <c r="A32" s="55" t="s">
        <v>478</v>
      </c>
      <c r="B32" s="55"/>
      <c r="C32" s="55"/>
      <c r="D32" s="55"/>
      <c r="E32" s="55"/>
      <c r="F32" s="55"/>
      <c r="G32" s="55"/>
      <c r="H32" s="55"/>
      <c r="I32" s="35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</row>
    <row r="33" spans="1:46" s="52" customFormat="1" ht="12" hidden="1" outlineLevel="1">
      <c r="A33" s="56" t="s">
        <v>493</v>
      </c>
      <c r="B33" s="56"/>
      <c r="C33" s="56"/>
      <c r="D33" s="56"/>
      <c r="E33" s="40"/>
      <c r="G33" s="259">
        <f>+'Max CCI'!C40</f>
        <v>46204</v>
      </c>
      <c r="H33" s="189" t="s">
        <v>402</v>
      </c>
      <c r="I33" s="260">
        <f>+'Max CCI'!C39</f>
        <v>0.63812201184000017</v>
      </c>
      <c r="J33" s="38" t="s">
        <v>14</v>
      </c>
      <c r="K33" s="39"/>
      <c r="L33" s="53"/>
      <c r="M33" s="53"/>
      <c r="N33" s="38"/>
      <c r="O33" s="38"/>
      <c r="P33" s="53"/>
      <c r="Q33" s="53"/>
      <c r="R33" s="53"/>
      <c r="S33" s="190"/>
      <c r="T33" s="190"/>
      <c r="U33" s="190"/>
      <c r="V33" s="190"/>
      <c r="W33" s="190"/>
      <c r="X33" s="190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</row>
    <row r="34" spans="1:46" s="52" customFormat="1" ht="12" collapsed="1">
      <c r="A34" s="54" t="s">
        <v>403</v>
      </c>
      <c r="B34" s="55"/>
      <c r="C34" s="55"/>
      <c r="D34" s="55"/>
      <c r="E34" s="55"/>
      <c r="F34" s="55"/>
      <c r="G34" s="55"/>
      <c r="H34" s="55"/>
      <c r="I34" s="35"/>
      <c r="J34" s="37"/>
      <c r="K34" s="39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</row>
    <row r="35" spans="1:46" s="52" customFormat="1" ht="12">
      <c r="A35" s="58" t="s">
        <v>479</v>
      </c>
      <c r="B35" s="55"/>
      <c r="C35" s="55"/>
      <c r="D35" s="55"/>
      <c r="E35" s="55"/>
      <c r="F35" s="55"/>
      <c r="G35" s="55"/>
      <c r="H35" s="55"/>
      <c r="I35" s="35"/>
      <c r="J35" s="37"/>
      <c r="K35" s="39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</row>
    <row r="36" spans="1:46" s="52" customFormat="1" ht="12">
      <c r="A36" s="57" t="s">
        <v>404</v>
      </c>
      <c r="B36" s="58"/>
      <c r="C36" s="58"/>
      <c r="D36" s="58"/>
      <c r="E36" s="58"/>
      <c r="F36" s="58"/>
      <c r="G36" s="58"/>
      <c r="H36" s="58"/>
      <c r="I36" s="59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</row>
    <row r="37" spans="1:46" s="52" customFormat="1" ht="12">
      <c r="A37" s="58" t="s">
        <v>412</v>
      </c>
      <c r="B37" s="58"/>
      <c r="C37" s="58"/>
      <c r="D37" s="58"/>
      <c r="E37" s="58"/>
      <c r="F37" s="58"/>
      <c r="G37" s="58"/>
      <c r="H37" s="58"/>
      <c r="I37" s="59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</row>
    <row r="38" spans="1:46">
      <c r="A38" s="40"/>
      <c r="B38" s="40"/>
      <c r="C38" s="40"/>
      <c r="D38" s="40"/>
      <c r="E38" s="40"/>
      <c r="F38" s="40"/>
      <c r="G38" s="40"/>
      <c r="H38" s="40"/>
      <c r="I38" s="38"/>
      <c r="J38" s="38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1:46">
      <c r="A39" s="315" t="s">
        <v>405</v>
      </c>
      <c r="B39" s="315"/>
      <c r="C39" s="315"/>
      <c r="D39" s="315"/>
      <c r="E39" s="315"/>
      <c r="F39" s="315"/>
      <c r="G39" s="315"/>
      <c r="H39" s="315"/>
      <c r="I39" s="315"/>
      <c r="J39" s="315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1:46" ht="27.75" customHeight="1">
      <c r="A40" s="305" t="s">
        <v>406</v>
      </c>
      <c r="B40" s="305"/>
      <c r="C40" s="305"/>
      <c r="D40" s="305"/>
      <c r="E40" s="305"/>
      <c r="F40" s="305"/>
      <c r="G40" s="305"/>
      <c r="H40" s="305"/>
      <c r="I40" s="60"/>
      <c r="J40" s="60"/>
    </row>
    <row r="42" spans="1:46" ht="12.75" customHeight="1">
      <c r="A42" s="179" t="s">
        <v>407</v>
      </c>
      <c r="B42" s="178"/>
      <c r="C42" s="178"/>
      <c r="D42" s="178"/>
      <c r="E42" s="178"/>
      <c r="F42" s="178"/>
      <c r="G42" s="178"/>
      <c r="H42" s="178"/>
      <c r="I42" s="178"/>
      <c r="J42" s="178"/>
    </row>
    <row r="43" spans="1:46">
      <c r="A43" s="303" t="s">
        <v>408</v>
      </c>
      <c r="B43" s="304"/>
      <c r="C43" s="304"/>
      <c r="D43" s="304"/>
      <c r="E43" s="304"/>
      <c r="F43" s="304"/>
      <c r="G43" s="304"/>
      <c r="H43" s="304"/>
      <c r="I43" s="305"/>
      <c r="J43" s="305"/>
    </row>
    <row r="46" spans="1:46">
      <c r="C46" s="191"/>
    </row>
  </sheetData>
  <sheetProtection algorithmName="SHA-512" hashValue="oSqpfiHYFGcYCnpkcqQZ/FoqZbjDGrFxphg2C434qxhrr0yx4/J6GpFBLJAn5PDqzhdAx1R6EOs75MM1qtxMFg==" saltValue="MdspxXMlE+l0+XuLzUp33w==" spinCount="100000" sheet="1" objects="1" scenarios="1"/>
  <mergeCells count="21">
    <mergeCell ref="A43:H43"/>
    <mergeCell ref="I43:J43"/>
    <mergeCell ref="G29:H29"/>
    <mergeCell ref="C16:D17"/>
    <mergeCell ref="A40:H40"/>
    <mergeCell ref="G16:H17"/>
    <mergeCell ref="A39:J39"/>
    <mergeCell ref="A16:B17"/>
    <mergeCell ref="I16:J17"/>
    <mergeCell ref="E16:F17"/>
    <mergeCell ref="A15:J15"/>
    <mergeCell ref="A1:J1"/>
    <mergeCell ref="E12:H12"/>
    <mergeCell ref="A2:J2"/>
    <mergeCell ref="A4:J4"/>
    <mergeCell ref="E6:H6"/>
    <mergeCell ref="E9:H9"/>
    <mergeCell ref="E10:H10"/>
    <mergeCell ref="A3:D3"/>
    <mergeCell ref="E7:H7"/>
    <mergeCell ref="E8:H8"/>
  </mergeCells>
  <phoneticPr fontId="22" type="noConversion"/>
  <dataValidations count="3">
    <dataValidation type="list" allowBlank="1" showInputMessage="1" showErrorMessage="1" sqref="E7:H7" xr:uid="{00000000-0002-0000-0600-000000000000}">
      <formula1>INDIRECT($E$6)</formula1>
    </dataValidation>
    <dataValidation type="list" allowBlank="1" showInputMessage="1" showErrorMessage="1" sqref="E6:H6" xr:uid="{00000000-0002-0000-0600-000001000000}">
      <formula1>_T01</formula1>
    </dataValidation>
    <dataValidation type="list" allowBlank="1" showInputMessage="1" showErrorMessage="1" sqref="E8:H8" xr:uid="{00000000-0002-0000-0600-000002000000}">
      <formula1>"G4-G6, G10-G40, oltre G40"</formula1>
    </dataValidation>
  </dataValidations>
  <hyperlinks>
    <hyperlink ref="A43" r:id="rId1" xr:uid="{00000000-0004-0000-0600-000000000000}"/>
  </hyperlinks>
  <pageMargins left="0.75" right="0.75" top="1" bottom="1" header="0.5" footer="0.5"/>
  <pageSetup paperSize="9" scale="66" orientation="landscape" r:id="rId2"/>
  <headerFooter alignWithMargins="0"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9531ca6-9dcd-4414-9d75-351adb0bc225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655C23CBEA9E48BFB1515B33E0D143" ma:contentTypeVersion="16" ma:contentTypeDescription="Creare un nuovo documento." ma:contentTypeScope="" ma:versionID="d1bdec4d6bf43f6883e19e48159f1ce1">
  <xsd:schema xmlns:xsd="http://www.w3.org/2001/XMLSchema" xmlns:xs="http://www.w3.org/2001/XMLSchema" xmlns:p="http://schemas.microsoft.com/office/2006/metadata/properties" xmlns:ns3="cec78446-c793-4c72-bc35-e6928f4278a3" xmlns:ns4="d9531ca6-9dcd-4414-9d75-351adb0bc225" targetNamespace="http://schemas.microsoft.com/office/2006/metadata/properties" ma:root="true" ma:fieldsID="7ce171eb82c16f7aed201f84be79b93e" ns3:_="" ns4:_="">
    <xsd:import namespace="cec78446-c793-4c72-bc35-e6928f4278a3"/>
    <xsd:import namespace="d9531ca6-9dcd-4414-9d75-351adb0bc22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SearchPropertie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78446-c793-4c72-bc35-e6928f4278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31ca6-9dcd-4414-9d75-351adb0bc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3D2145-72EA-4EFD-B05E-61B5939ED7A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9531ca6-9dcd-4414-9d75-351adb0bc225"/>
    <ds:schemaRef ds:uri="http://purl.org/dc/terms/"/>
    <ds:schemaRef ds:uri="cec78446-c793-4c72-bc35-e6928f4278a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C01ABF-3B77-48FF-8A5E-F4FA5161514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A87A16F-9CE2-4F5A-B4DD-FB160967D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c78446-c793-4c72-bc35-e6928f4278a3"/>
    <ds:schemaRef ds:uri="d9531ca6-9dcd-4414-9d75-351adb0bc2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BC7FA02-720E-4ECD-BFAA-0C3A56FAA3F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5f73a75-999a-4b6f-83c1-8a9511c3f90d}" enabled="0" method="" siteId="{05f73a75-999a-4b6f-83c1-8a9511c3f9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9</vt:i4>
      </vt:variant>
    </vt:vector>
  </HeadingPairs>
  <TitlesOfParts>
    <vt:vector size="15" baseType="lpstr">
      <vt:lpstr>Max CCI</vt:lpstr>
      <vt:lpstr>Parametri</vt:lpstr>
      <vt:lpstr>Calcolo distribuzione</vt:lpstr>
      <vt:lpstr>COMUNI</vt:lpstr>
      <vt:lpstr>TARIFFE_SOCIETà</vt:lpstr>
      <vt:lpstr>STV_Servizio tutela vulnerabili</vt:lpstr>
      <vt:lpstr>_T01</vt:lpstr>
      <vt:lpstr>'STV_Servizio tutela vulnerabili'!Area_stampa</vt:lpstr>
      <vt:lpstr>ASM_SET</vt:lpstr>
      <vt:lpstr>ETRA_ENERGIA</vt:lpstr>
      <vt:lpstr>PASUBIO_SERVIZI</vt:lpstr>
      <vt:lpstr>SOCIETA</vt:lpstr>
      <vt:lpstr>SOCIETA_T01</vt:lpstr>
      <vt:lpstr>STANDARD</vt:lpstr>
      <vt:lpstr>VERITAS_ENERGIA</vt:lpstr>
    </vt:vector>
  </TitlesOfParts>
  <Manager/>
  <Company>ASCOPIAVE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instop</dc:creator>
  <cp:keywords/>
  <dc:description/>
  <cp:lastModifiedBy>POVOLO CLAUDIA</cp:lastModifiedBy>
  <cp:revision/>
  <dcterms:created xsi:type="dcterms:W3CDTF">2010-12-22T15:45:19Z</dcterms:created>
  <dcterms:modified xsi:type="dcterms:W3CDTF">2026-09-08T08:21:46Z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Povolo Claudia</vt:lpwstr>
  </property>
  <property fmtid="{D5CDD505-2E9C-101B-9397-08002B2CF9AE}" pid="3" name="Order">
    <vt:lpwstr>538400.000000000</vt:lpwstr>
  </property>
  <property fmtid="{D5CDD505-2E9C-101B-9397-08002B2CF9AE}" pid="4" name="display_urn:schemas-microsoft-com:office:office#Author">
    <vt:lpwstr>Povolo Claudia</vt:lpwstr>
  </property>
  <property fmtid="{D5CDD505-2E9C-101B-9397-08002B2CF9AE}" pid="5" name="ContentTypeId">
    <vt:lpwstr>0x010100F5655C23CBEA9E48BFB1515B33E0D143</vt:lpwstr>
  </property>
  <property fmtid="{D5CDD505-2E9C-101B-9397-08002B2CF9AE}" pid="6" name="MediaServiceImageTags">
    <vt:lpwstr/>
  </property>
</Properties>
</file>